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4697ED0F-0A1C-49B0-9BB6-408E51217A7E}" xr6:coauthVersionLast="38" xr6:coauthVersionMax="38" xr10:uidLastSave="{00000000-0000-0000-0000-000000000000}"/>
  <bookViews>
    <workbookView xWindow="0" yWindow="0" windowWidth="27860" windowHeight="9200" tabRatio="942"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Input_Sheet_Template!$E$102</definedName>
    <definedName name="acres">Input_Sheet_Template!$E$103</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Input_Sheet_Template!$E$158</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Input_Sheet_Template!$C$89</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Input_Sheet_Template!$E$99</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Input_Sheet_Template!$F$73:$F$76</definedName>
    <definedName name="Dynamic_NonE_Byprod_Total">Input_Sheet_Template!$E$141:$E$142</definedName>
    <definedName name="Dynamic_NonE_Feed_Total">Input_Sheet_Template!$E$136:$E$141</definedName>
    <definedName name="Dynamic_Utilities_Total">Input_Sheet_Template!$F$76:$F$79</definedName>
    <definedName name="Energy_Feed_List">Lists!$K$12</definedName>
    <definedName name="Energy_Feed_Years">Lists!$K$14</definedName>
    <definedName name="Engin">Input_Sheet_Template!$E$93</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Input_Sheet_Template!#REF!</definedName>
    <definedName name="feedstockIndustrial_Natural_Gas_Price">Input_Sheet_Template!$D$75</definedName>
    <definedName name="feedstockIndustrial_Natural_Gas_Usage">Input_Sheet_Template!$E$75</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Input_Sheet_Template!$E$97</definedName>
    <definedName name="fixed">Input_Sheet_Template!$E$124</definedName>
    <definedName name="FTE_cost">Input_Sheet_Template!$E$112</definedName>
    <definedName name="FTEs">Input_Sheet_Template!$E$111</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Input_Sheet_Template!$E$113</definedName>
    <definedName name="land_cost">Input_Sheet_Template!$E$104</definedName>
    <definedName name="lb_to_kg">'Constants and Conversions'!$C$7</definedName>
    <definedName name="licensing">Input_Sheet_Template!$E$116</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Input_Sheet_Template!$E$120</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Input_Sheet_Template!$E$106</definedName>
    <definedName name="non_dep_infl">'Cash Flow Analysis'!$B$52</definedName>
    <definedName name="NPV">'Cash Flow Analysis'!$E$26</definedName>
    <definedName name="operator_profit">Input_Sheet_Template!$E$156</definedName>
    <definedName name="other_fees">Input_Sheet_Template!$E$122</definedName>
    <definedName name="other_fixed">Input_Sheet_Template!$E$123</definedName>
    <definedName name="Other_indirect">Input_Sheet_Template!$E$96</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Input_Sheet_Template!$E$115</definedName>
    <definedName name="overhead_rate">Input_Sheet_Template!$C$114</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Input_Sheet_Template!$E$98</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Input_Sheet_Template!$B$126:$G$163</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Input_Sheet_Template!$E$159</definedName>
    <definedName name="Proc_CO2_taxpYear">Input_Sheet_Template!$E$160</definedName>
    <definedName name="ProcEqpCap">'Plant Scaling'!$E$27</definedName>
    <definedName name="Process_cont">Input_Sheet_Template!$E$94</definedName>
    <definedName name="prod_maint">Input_Sheet_Template!$E$121</definedName>
    <definedName name="Project_cont">Input_Sheet_Template!$E$95</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Input_Sheet_Template!$E$119</definedName>
    <definedName name="replace_factor">Input_Sheet_Template!$C$154</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Input_Sheet_Template!$E$155</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Input_Sheet_Template!$E$92</definedName>
    <definedName name="solidwaste_treat">Input_Sheet_Template!$E$153</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Input_Sheet_Template!$A$80</definedName>
    <definedName name="START_FEED">Input_Sheet_Template!$A$76</definedName>
    <definedName name="START_NONE_BYPROD">Input_Sheet_Template!$A$142</definedName>
    <definedName name="START_NONE_FEED">Input_Sheet_Template!$A$141</definedName>
    <definedName name="START_NONE_TOP">Input_Sheet_Template!$A$136</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Input_Sheet_Template!$E$157</definedName>
    <definedName name="tax_ins_rate">Input_Sheet_Template!$C$117</definedName>
    <definedName name="tax_insurance">Input_Sheet_Template!$E$118</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Input_Sheet_Template!$C$135</definedName>
    <definedName name="TMP_NonE_Feed">Input_Sheet_Template!$C$131</definedName>
    <definedName name="TMP_NonE_StartPrice">Input_Sheet_Template!$C$132</definedName>
    <definedName name="TMP_NonE_StartYrCost">Input_Sheet_Template!$C$134</definedName>
    <definedName name="TMP_NonE_Type">Input_Sheet_Template!$B$131</definedName>
    <definedName name="TMP_NonE_Usage">Input_Sheet_Template!$C$133</definedName>
    <definedName name="TMP_NonE_Usage_txt">Input_Sheet_Template!$B$132</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Input_Sheet_Template!$C$148</definedName>
    <definedName name="total_cap">Input_Sheet_Template!$C$108</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Input_Sheet_Template!$C$146</definedName>
    <definedName name="total_non_energy_byproduct_credit">Input_Sheet_Template!$C$144</definedName>
    <definedName name="Total_Non_Energy_Feed_Cost">Input_Sheet_Template!$C$143</definedName>
    <definedName name="total_other_raw">Input_Sheet_Template!$E$151</definedName>
    <definedName name="total_tax_rate">Input_Sheet_Template!$C$55</definedName>
    <definedName name="total_utilities">Input_Sheet_Template!$C$147</definedName>
    <definedName name="total_var">Input_Sheet_Template!$E$163</definedName>
    <definedName name="upper_capacity_limit">'Plant Scaling'!$C$8</definedName>
    <definedName name="Upstream_CO2_tax">Input_Sheet_Template!$E$161</definedName>
    <definedName name="Upstream_CO2_taxpYear">Input_Sheet_Template!$E$162</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Input_Sheet_Template!$D$78</definedName>
    <definedName name="utilityIndustrial_Electricity_Usage">Input_Sheet_Template!$E$78</definedName>
    <definedName name="VAR_FEED_VALUES">Input_Sheet_Template!$B$65:$D$70</definedName>
    <definedName name="var_misc">Input_Sheet_Template!$E$150</definedName>
    <definedName name="VAR_NonE_FEED_VALUES">Input_Sheet_Template!$B$131:$D$135</definedName>
    <definedName name="waste_treat">Input_Sheet_Template!$E$152</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4" i="13" l="1"/>
  <c r="C141" i="12" l="1"/>
  <c r="CZ141" i="12" s="1"/>
  <c r="C140" i="12"/>
  <c r="CT140" i="12" s="1"/>
  <c r="BI139" i="12"/>
  <c r="C139" i="12"/>
  <c r="CV139" i="12" s="1"/>
  <c r="C138" i="12"/>
  <c r="CW138" i="12" s="1"/>
  <c r="C137" i="12"/>
  <c r="CW137" i="12" s="1"/>
  <c r="CW136" i="12"/>
  <c r="C136" i="12"/>
  <c r="CE136" i="12" s="1"/>
  <c r="C135" i="12"/>
  <c r="CO135" i="12" s="1"/>
  <c r="C134" i="12"/>
  <c r="CU134" i="12" s="1"/>
  <c r="BZ133" i="12"/>
  <c r="BJ133" i="12"/>
  <c r="BB133" i="12"/>
  <c r="C133" i="12"/>
  <c r="CW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BM139" i="12" l="1"/>
  <c r="CE139" i="12"/>
  <c r="CG139" i="12"/>
  <c r="AB134" i="12"/>
  <c r="BI134" i="12"/>
  <c r="CP133" i="12"/>
  <c r="AD134" i="12"/>
  <c r="BQ134" i="12"/>
  <c r="U136" i="12"/>
  <c r="BX134" i="12"/>
  <c r="AL134" i="12"/>
  <c r="CF134" i="12"/>
  <c r="AY136" i="12"/>
  <c r="U139" i="12"/>
  <c r="I140" i="12"/>
  <c r="CW134" i="12"/>
  <c r="AD133" i="12"/>
  <c r="L134" i="12"/>
  <c r="AS134" i="12"/>
  <c r="CG134" i="12"/>
  <c r="BO136" i="12"/>
  <c r="AO139" i="12"/>
  <c r="AO140" i="12"/>
  <c r="BA134" i="12"/>
  <c r="V134" i="12"/>
  <c r="BB134" i="12"/>
  <c r="CX133" i="12"/>
  <c r="AJ134" i="12"/>
  <c r="AK136" i="12"/>
  <c r="S139" i="12"/>
  <c r="N133" i="12"/>
  <c r="AL133" i="12"/>
  <c r="M134" i="12"/>
  <c r="AT134" i="12"/>
  <c r="CO134" i="12"/>
  <c r="CG136" i="12"/>
  <c r="AQ139" i="12"/>
  <c r="BU140" i="12"/>
  <c r="T134" i="12"/>
  <c r="U135" i="12"/>
  <c r="BA135" i="12"/>
  <c r="CG135" i="12"/>
  <c r="CC137" i="12"/>
  <c r="AI138" i="12"/>
  <c r="CC138" i="12"/>
  <c r="M139" i="12"/>
  <c r="AI139" i="12"/>
  <c r="BE139" i="12"/>
  <c r="BY139" i="12"/>
  <c r="CU139" i="12"/>
  <c r="AA140" i="12"/>
  <c r="BG140" i="12"/>
  <c r="CM140" i="12"/>
  <c r="AO141" i="12"/>
  <c r="V133" i="12"/>
  <c r="CH133" i="12"/>
  <c r="U134" i="12"/>
  <c r="AR134" i="12"/>
  <c r="BP134" i="12"/>
  <c r="CV134" i="12"/>
  <c r="W135" i="12"/>
  <c r="BC135" i="12"/>
  <c r="CI135" i="12"/>
  <c r="AI136" i="12"/>
  <c r="CU136" i="12"/>
  <c r="CS137" i="12"/>
  <c r="AU138" i="12"/>
  <c r="CE138" i="12"/>
  <c r="Q139" i="12"/>
  <c r="AK139" i="12"/>
  <c r="BG139" i="12"/>
  <c r="CC139" i="12"/>
  <c r="CW139" i="12"/>
  <c r="AG140" i="12"/>
  <c r="BM140" i="12"/>
  <c r="CS140" i="12"/>
  <c r="AW141" i="12"/>
  <c r="Y135" i="12"/>
  <c r="CK135" i="12"/>
  <c r="AW138" i="12"/>
  <c r="CQ138" i="12"/>
  <c r="AI140" i="12"/>
  <c r="BO140" i="12"/>
  <c r="CU140" i="12"/>
  <c r="BE141" i="12"/>
  <c r="AY138" i="12"/>
  <c r="BM141" i="12"/>
  <c r="BG135" i="12"/>
  <c r="CM135" i="12"/>
  <c r="O138" i="12"/>
  <c r="CS138" i="12"/>
  <c r="AT133" i="12"/>
  <c r="AC134" i="12"/>
  <c r="AZ134" i="12"/>
  <c r="BY134" i="12"/>
  <c r="J135" i="12"/>
  <c r="AK135" i="12"/>
  <c r="BQ135" i="12"/>
  <c r="CW135" i="12"/>
  <c r="BA136" i="12"/>
  <c r="Q137" i="12"/>
  <c r="Q138" i="12"/>
  <c r="BK138" i="12"/>
  <c r="CU138" i="12"/>
  <c r="Y139" i="12"/>
  <c r="AS139" i="12"/>
  <c r="BO139" i="12"/>
  <c r="CK139" i="12"/>
  <c r="K140" i="12"/>
  <c r="AQ140" i="12"/>
  <c r="BW140" i="12"/>
  <c r="I141" i="12"/>
  <c r="BU141" i="12"/>
  <c r="BE135" i="12"/>
  <c r="AA135" i="12"/>
  <c r="K135" i="12"/>
  <c r="AM135" i="12"/>
  <c r="BS135" i="12"/>
  <c r="CY135" i="12"/>
  <c r="AG137" i="12"/>
  <c r="S138" i="12"/>
  <c r="BM138" i="12"/>
  <c r="AA139" i="12"/>
  <c r="AW139" i="12"/>
  <c r="BQ139" i="12"/>
  <c r="CM139" i="12"/>
  <c r="Q140" i="12"/>
  <c r="AW140" i="12"/>
  <c r="CC140" i="12"/>
  <c r="Q141" i="12"/>
  <c r="CC141" i="12"/>
  <c r="L135" i="12"/>
  <c r="AO135" i="12"/>
  <c r="BU135" i="12"/>
  <c r="BQ136" i="12"/>
  <c r="AW137" i="12"/>
  <c r="AE138" i="12"/>
  <c r="BO138" i="12"/>
  <c r="I139" i="12"/>
  <c r="AC139" i="12"/>
  <c r="AY139" i="12"/>
  <c r="BU139" i="12"/>
  <c r="CO139" i="12"/>
  <c r="S140" i="12"/>
  <c r="AY140" i="12"/>
  <c r="CE140" i="12"/>
  <c r="Y141" i="12"/>
  <c r="CK141" i="12"/>
  <c r="BR133" i="12"/>
  <c r="N134" i="12"/>
  <c r="AK134" i="12"/>
  <c r="BH134" i="12"/>
  <c r="CN134" i="12"/>
  <c r="M135" i="12"/>
  <c r="AQ135" i="12"/>
  <c r="BW135" i="12"/>
  <c r="S136" i="12"/>
  <c r="BM137" i="12"/>
  <c r="AG138" i="12"/>
  <c r="CA138" i="12"/>
  <c r="K139" i="12"/>
  <c r="AG139" i="12"/>
  <c r="BA139" i="12"/>
  <c r="BW139" i="12"/>
  <c r="CS139" i="12"/>
  <c r="Y140" i="12"/>
  <c r="BE140" i="12"/>
  <c r="CK140" i="12"/>
  <c r="AG141" i="12"/>
  <c r="CS141" i="12"/>
  <c r="W133" i="12"/>
  <c r="AU133" i="12"/>
  <c r="CQ133" i="12"/>
  <c r="S137" i="12"/>
  <c r="AI137" i="12"/>
  <c r="AY137" i="12"/>
  <c r="BO137" i="12"/>
  <c r="BS133" i="12"/>
  <c r="P133" i="12"/>
  <c r="BL133" i="12"/>
  <c r="BZ134" i="12"/>
  <c r="CP134" i="12"/>
  <c r="CT136" i="12"/>
  <c r="CL136" i="12"/>
  <c r="CD136" i="12"/>
  <c r="BV136" i="12"/>
  <c r="BN136" i="12"/>
  <c r="BF136" i="12"/>
  <c r="AX136" i="12"/>
  <c r="AP136" i="12"/>
  <c r="AH136" i="12"/>
  <c r="Z136" i="12"/>
  <c r="R136" i="12"/>
  <c r="J136" i="12"/>
  <c r="CZ136" i="12"/>
  <c r="CR136" i="12"/>
  <c r="CJ136" i="12"/>
  <c r="CB136" i="12"/>
  <c r="BT136" i="12"/>
  <c r="BL136" i="12"/>
  <c r="BD136" i="12"/>
  <c r="AV136" i="12"/>
  <c r="AN136" i="12"/>
  <c r="AF136" i="12"/>
  <c r="X136" i="12"/>
  <c r="P136" i="12"/>
  <c r="H136" i="12"/>
  <c r="CX136" i="12"/>
  <c r="CP136" i="12"/>
  <c r="CH136" i="12"/>
  <c r="BZ136" i="12"/>
  <c r="BR136" i="12"/>
  <c r="BJ136" i="12"/>
  <c r="BB136" i="12"/>
  <c r="AT136" i="12"/>
  <c r="AL136" i="12"/>
  <c r="AD136" i="12"/>
  <c r="V136" i="12"/>
  <c r="N136" i="12"/>
  <c r="CV136" i="12"/>
  <c r="CN136" i="12"/>
  <c r="CF136" i="12"/>
  <c r="BX136" i="12"/>
  <c r="BP136" i="12"/>
  <c r="BH136" i="12"/>
  <c r="AZ136" i="12"/>
  <c r="AR136" i="12"/>
  <c r="AJ136" i="12"/>
  <c r="AB136" i="12"/>
  <c r="T136" i="12"/>
  <c r="L136" i="12"/>
  <c r="W136" i="12"/>
  <c r="AM136" i="12"/>
  <c r="BC136" i="12"/>
  <c r="BS136" i="12"/>
  <c r="CI136" i="12"/>
  <c r="CY136" i="12"/>
  <c r="U137" i="12"/>
  <c r="AK137" i="12"/>
  <c r="BA137" i="12"/>
  <c r="BQ137" i="12"/>
  <c r="CG137" i="12"/>
  <c r="CZ137" i="12"/>
  <c r="CR137" i="12"/>
  <c r="CJ137" i="12"/>
  <c r="CB137" i="12"/>
  <c r="BT137" i="12"/>
  <c r="BL137" i="12"/>
  <c r="BD137" i="12"/>
  <c r="AV137" i="12"/>
  <c r="AN137" i="12"/>
  <c r="AF137" i="12"/>
  <c r="X137" i="12"/>
  <c r="P137" i="12"/>
  <c r="H137" i="12"/>
  <c r="CX137" i="12"/>
  <c r="CP137" i="12"/>
  <c r="CH137" i="12"/>
  <c r="BZ137" i="12"/>
  <c r="BR137" i="12"/>
  <c r="BJ137" i="12"/>
  <c r="BB137" i="12"/>
  <c r="AT137" i="12"/>
  <c r="AL137" i="12"/>
  <c r="AD137" i="12"/>
  <c r="V137" i="12"/>
  <c r="N137" i="12"/>
  <c r="CV137" i="12"/>
  <c r="CN137" i="12"/>
  <c r="CF137" i="12"/>
  <c r="BX137" i="12"/>
  <c r="BP137" i="12"/>
  <c r="BH137" i="12"/>
  <c r="AZ137" i="12"/>
  <c r="AR137" i="12"/>
  <c r="AJ137" i="12"/>
  <c r="AB137" i="12"/>
  <c r="T137" i="12"/>
  <c r="L137" i="12"/>
  <c r="CT137" i="12"/>
  <c r="CL137" i="12"/>
  <c r="CD137" i="12"/>
  <c r="BV137" i="12"/>
  <c r="BN137" i="12"/>
  <c r="BF137" i="12"/>
  <c r="AX137" i="12"/>
  <c r="AP137" i="12"/>
  <c r="AH137" i="12"/>
  <c r="Z137" i="12"/>
  <c r="R137" i="12"/>
  <c r="J137" i="12"/>
  <c r="W137" i="12"/>
  <c r="AM137" i="12"/>
  <c r="BC137" i="12"/>
  <c r="BS137" i="12"/>
  <c r="CI137" i="12"/>
  <c r="CY137" i="12"/>
  <c r="U138" i="12"/>
  <c r="AK138" i="12"/>
  <c r="BA138" i="12"/>
  <c r="BQ138" i="12"/>
  <c r="CG138" i="12"/>
  <c r="AE133" i="12"/>
  <c r="BK133" i="12"/>
  <c r="CI133" i="12"/>
  <c r="CY133" i="12"/>
  <c r="AF133" i="12"/>
  <c r="BT133" i="12"/>
  <c r="CZ133" i="12"/>
  <c r="CH134" i="12"/>
  <c r="Y133" i="12"/>
  <c r="AW133" i="12"/>
  <c r="BU133" i="12"/>
  <c r="CS133" i="12"/>
  <c r="AM134" i="12"/>
  <c r="BS134" i="12"/>
  <c r="CQ134" i="12"/>
  <c r="BU136" i="12"/>
  <c r="R133" i="12"/>
  <c r="Z133" i="12"/>
  <c r="AH133" i="12"/>
  <c r="AP133" i="12"/>
  <c r="AX133" i="12"/>
  <c r="BF133" i="12"/>
  <c r="BN133" i="12"/>
  <c r="BV133" i="12"/>
  <c r="CD133" i="12"/>
  <c r="CL133" i="12"/>
  <c r="CT133" i="12"/>
  <c r="H134" i="12"/>
  <c r="P134" i="12"/>
  <c r="X134" i="12"/>
  <c r="AF134" i="12"/>
  <c r="AN134" i="12"/>
  <c r="AV134" i="12"/>
  <c r="BD134" i="12"/>
  <c r="BL134" i="12"/>
  <c r="BT134" i="12"/>
  <c r="CB134" i="12"/>
  <c r="CJ134" i="12"/>
  <c r="CR134" i="12"/>
  <c r="CZ134" i="12"/>
  <c r="N135" i="12"/>
  <c r="AC135" i="12"/>
  <c r="AS135" i="12"/>
  <c r="BI135" i="12"/>
  <c r="BY135" i="12"/>
  <c r="K136" i="12"/>
  <c r="AA136" i="12"/>
  <c r="AQ136" i="12"/>
  <c r="BG136" i="12"/>
  <c r="BW136" i="12"/>
  <c r="CM136" i="12"/>
  <c r="I137" i="12"/>
  <c r="Y137" i="12"/>
  <c r="AO137" i="12"/>
  <c r="BE137" i="12"/>
  <c r="BU137" i="12"/>
  <c r="CK137"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CT138" i="12"/>
  <c r="CL138" i="12"/>
  <c r="CD138" i="12"/>
  <c r="BV138" i="12"/>
  <c r="BN138" i="12"/>
  <c r="BF138" i="12"/>
  <c r="AX138" i="12"/>
  <c r="AP138" i="12"/>
  <c r="AH138" i="12"/>
  <c r="Z138" i="12"/>
  <c r="R138" i="12"/>
  <c r="J138" i="12"/>
  <c r="CZ138" i="12"/>
  <c r="CR138" i="12"/>
  <c r="CJ138" i="12"/>
  <c r="CB138" i="12"/>
  <c r="BT138" i="12"/>
  <c r="BL138" i="12"/>
  <c r="BD138" i="12"/>
  <c r="AV138" i="12"/>
  <c r="AN138" i="12"/>
  <c r="AF138" i="12"/>
  <c r="X138" i="12"/>
  <c r="P138" i="12"/>
  <c r="H138" i="12"/>
  <c r="W138" i="12"/>
  <c r="AM138" i="12"/>
  <c r="BC138" i="12"/>
  <c r="BS138" i="12"/>
  <c r="CI138" i="12"/>
  <c r="CY138" i="12"/>
  <c r="BC133" i="12"/>
  <c r="CU137" i="12"/>
  <c r="H133" i="12"/>
  <c r="AN133" i="12"/>
  <c r="BD133" i="12"/>
  <c r="CR133" i="12"/>
  <c r="BJ134" i="12"/>
  <c r="CX134" i="12"/>
  <c r="I133" i="12"/>
  <c r="AG133" i="12"/>
  <c r="BE133" i="12"/>
  <c r="CK133" i="12"/>
  <c r="W134" i="12"/>
  <c r="BC134" i="12"/>
  <c r="CA134" i="12"/>
  <c r="I136" i="12"/>
  <c r="BE136" i="12"/>
  <c r="BG133" i="12"/>
  <c r="CV135" i="12"/>
  <c r="CN135" i="12"/>
  <c r="CF135" i="12"/>
  <c r="BX135" i="12"/>
  <c r="BP135" i="12"/>
  <c r="BH135" i="12"/>
  <c r="AZ135" i="12"/>
  <c r="AR135" i="12"/>
  <c r="AJ135" i="12"/>
  <c r="AB135" i="12"/>
  <c r="T135" i="12"/>
  <c r="CT135" i="12"/>
  <c r="CL135" i="12"/>
  <c r="CD135" i="12"/>
  <c r="BV135" i="12"/>
  <c r="BN135" i="12"/>
  <c r="BF135" i="12"/>
  <c r="AX135" i="12"/>
  <c r="AP135" i="12"/>
  <c r="AH135" i="12"/>
  <c r="Z135" i="12"/>
  <c r="R135" i="12"/>
  <c r="CZ135" i="12"/>
  <c r="CR135" i="12"/>
  <c r="CJ135" i="12"/>
  <c r="CB135" i="12"/>
  <c r="BT135" i="12"/>
  <c r="BL135" i="12"/>
  <c r="BD135" i="12"/>
  <c r="AV135" i="12"/>
  <c r="AN135" i="12"/>
  <c r="AF135" i="12"/>
  <c r="X135" i="12"/>
  <c r="P135" i="12"/>
  <c r="CX135" i="12"/>
  <c r="CP135" i="12"/>
  <c r="CH135" i="12"/>
  <c r="BZ135" i="12"/>
  <c r="BR135" i="12"/>
  <c r="BJ135" i="12"/>
  <c r="BB135" i="12"/>
  <c r="AT135" i="12"/>
  <c r="AL135" i="12"/>
  <c r="AD135" i="12"/>
  <c r="V135" i="12"/>
  <c r="O135" i="12"/>
  <c r="AE135" i="12"/>
  <c r="AU135" i="12"/>
  <c r="BK135" i="12"/>
  <c r="CA135" i="12"/>
  <c r="CQ135" i="12"/>
  <c r="M136" i="12"/>
  <c r="AC136" i="12"/>
  <c r="AS136" i="12"/>
  <c r="BI136" i="12"/>
  <c r="BY136" i="12"/>
  <c r="CO136" i="12"/>
  <c r="K137" i="12"/>
  <c r="AA137" i="12"/>
  <c r="AQ137" i="12"/>
  <c r="BG137" i="12"/>
  <c r="BW137" i="12"/>
  <c r="CM137" i="12"/>
  <c r="I138" i="12"/>
  <c r="Y138" i="12"/>
  <c r="AO138" i="12"/>
  <c r="BE138" i="12"/>
  <c r="BU138" i="12"/>
  <c r="CK138" i="12"/>
  <c r="O133" i="12"/>
  <c r="CA133" i="12"/>
  <c r="X133" i="12"/>
  <c r="AV133" i="12"/>
  <c r="CJ133" i="12"/>
  <c r="BR134" i="12"/>
  <c r="Q133" i="12"/>
  <c r="AO133" i="12"/>
  <c r="BM133" i="12"/>
  <c r="CC133" i="12"/>
  <c r="O134" i="12"/>
  <c r="AU134" i="12"/>
  <c r="CI134" i="12"/>
  <c r="Y136" i="12"/>
  <c r="CK136" i="12"/>
  <c r="J133" i="12"/>
  <c r="K133" i="12"/>
  <c r="AA133" i="12"/>
  <c r="AQ133" i="12"/>
  <c r="BO133" i="12"/>
  <c r="CM133" i="12"/>
  <c r="I134" i="12"/>
  <c r="AG134" i="12"/>
  <c r="BE134" i="12"/>
  <c r="CK134" i="12"/>
  <c r="L133" i="12"/>
  <c r="AB133" i="12"/>
  <c r="AR133" i="12"/>
  <c r="BH133" i="12"/>
  <c r="BX133" i="12"/>
  <c r="CN133" i="12"/>
  <c r="CV133" i="12"/>
  <c r="J134" i="12"/>
  <c r="Z134" i="12"/>
  <c r="AH134" i="12"/>
  <c r="AP134" i="12"/>
  <c r="AX134" i="12"/>
  <c r="BF134" i="12"/>
  <c r="BN134" i="12"/>
  <c r="BV134" i="12"/>
  <c r="CD134" i="12"/>
  <c r="CL134" i="12"/>
  <c r="CT134" i="12"/>
  <c r="H135" i="12"/>
  <c r="Q135" i="12"/>
  <c r="AG135" i="12"/>
  <c r="AW135" i="12"/>
  <c r="BM135" i="12"/>
  <c r="CC135" i="12"/>
  <c r="CS135" i="12"/>
  <c r="O136" i="12"/>
  <c r="AE136" i="12"/>
  <c r="AU136" i="12"/>
  <c r="BK136" i="12"/>
  <c r="CA136" i="12"/>
  <c r="CQ136" i="12"/>
  <c r="M137" i="12"/>
  <c r="AC137" i="12"/>
  <c r="AS137" i="12"/>
  <c r="BI137" i="12"/>
  <c r="BY137" i="12"/>
  <c r="CO137" i="12"/>
  <c r="K138" i="12"/>
  <c r="AA138" i="12"/>
  <c r="AQ138" i="12"/>
  <c r="BG138" i="12"/>
  <c r="BW138" i="12"/>
  <c r="CM138" i="12"/>
  <c r="AM133" i="12"/>
  <c r="CE137" i="12"/>
  <c r="CB133" i="12"/>
  <c r="AE134" i="12"/>
  <c r="BK134" i="12"/>
  <c r="CY134" i="12"/>
  <c r="AO136" i="12"/>
  <c r="S133" i="12"/>
  <c r="AI133" i="12"/>
  <c r="AY133" i="12"/>
  <c r="BW133" i="12"/>
  <c r="CE133" i="12"/>
  <c r="CU133" i="12"/>
  <c r="Q134" i="12"/>
  <c r="Y134" i="12"/>
  <c r="AO134" i="12"/>
  <c r="AW134" i="12"/>
  <c r="BM134" i="12"/>
  <c r="BU134" i="12"/>
  <c r="CC134" i="12"/>
  <c r="CS134" i="12"/>
  <c r="T133" i="12"/>
  <c r="AJ133" i="12"/>
  <c r="AZ133" i="12"/>
  <c r="BP133" i="12"/>
  <c r="CF133" i="12"/>
  <c r="R134" i="12"/>
  <c r="M133" i="12"/>
  <c r="U133" i="12"/>
  <c r="AC133" i="12"/>
  <c r="AK133" i="12"/>
  <c r="AS133" i="12"/>
  <c r="BA133" i="12"/>
  <c r="BI133" i="12"/>
  <c r="BQ133" i="12"/>
  <c r="BY133" i="12"/>
  <c r="CG133" i="12"/>
  <c r="CO133" i="12"/>
  <c r="K134" i="12"/>
  <c r="S134" i="12"/>
  <c r="AA134" i="12"/>
  <c r="AI134" i="12"/>
  <c r="AQ134" i="12"/>
  <c r="AY134" i="12"/>
  <c r="BG134" i="12"/>
  <c r="BO134" i="12"/>
  <c r="BW134" i="12"/>
  <c r="CE134" i="12"/>
  <c r="CM134" i="12"/>
  <c r="I135" i="12"/>
  <c r="S135" i="12"/>
  <c r="AI135" i="12"/>
  <c r="AY135" i="12"/>
  <c r="BO135" i="12"/>
  <c r="CE135" i="12"/>
  <c r="CU135" i="12"/>
  <c r="Q136" i="12"/>
  <c r="AG136" i="12"/>
  <c r="AW136" i="12"/>
  <c r="BM136" i="12"/>
  <c r="CC136" i="12"/>
  <c r="CS136" i="12"/>
  <c r="O137" i="12"/>
  <c r="AE137" i="12"/>
  <c r="AU137" i="12"/>
  <c r="BK137" i="12"/>
  <c r="CA137" i="12"/>
  <c r="CQ137" i="12"/>
  <c r="M138" i="12"/>
  <c r="AC138" i="12"/>
  <c r="AS138" i="12"/>
  <c r="BI138" i="12"/>
  <c r="BY138" i="12"/>
  <c r="CO138" i="12"/>
  <c r="N139" i="12"/>
  <c r="V139" i="12"/>
  <c r="AD139" i="12"/>
  <c r="AL139" i="12"/>
  <c r="AT139" i="12"/>
  <c r="BB139" i="12"/>
  <c r="BJ139" i="12"/>
  <c r="BR139" i="12"/>
  <c r="BZ139" i="12"/>
  <c r="CH139" i="12"/>
  <c r="CP139" i="12"/>
  <c r="CX139" i="12"/>
  <c r="L140" i="12"/>
  <c r="T140" i="12"/>
  <c r="AB140" i="12"/>
  <c r="AJ140" i="12"/>
  <c r="AR140" i="12"/>
  <c r="AZ140" i="12"/>
  <c r="BH140" i="12"/>
  <c r="BP140" i="12"/>
  <c r="BX140" i="12"/>
  <c r="CF140" i="12"/>
  <c r="CN140" i="12"/>
  <c r="CV140" i="12"/>
  <c r="J141" i="12"/>
  <c r="R141" i="12"/>
  <c r="Z141" i="12"/>
  <c r="AH141" i="12"/>
  <c r="AP141" i="12"/>
  <c r="AX141" i="12"/>
  <c r="BF141" i="12"/>
  <c r="BN141" i="12"/>
  <c r="BV141" i="12"/>
  <c r="CD141" i="12"/>
  <c r="CL141" i="12"/>
  <c r="CT141"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H139" i="12"/>
  <c r="P139" i="12"/>
  <c r="X139" i="12"/>
  <c r="AF139" i="12"/>
  <c r="AN139" i="12"/>
  <c r="AV139" i="12"/>
  <c r="BD139" i="12"/>
  <c r="BL139" i="12"/>
  <c r="BT139" i="12"/>
  <c r="CB139" i="12"/>
  <c r="CJ139" i="12"/>
  <c r="CR139" i="12"/>
  <c r="CZ139"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J41" i="33"/>
  <c r="Q134" i="15" l="1"/>
  <c r="Q133" i="15"/>
  <c r="Q132" i="15"/>
  <c r="Q131" i="15"/>
  <c r="P134" i="15"/>
  <c r="P133" i="15"/>
  <c r="P132" i="15"/>
  <c r="P131" i="15"/>
  <c r="F135" i="15"/>
  <c r="F134" i="15"/>
  <c r="F132" i="15"/>
  <c r="F131" i="15"/>
  <c r="B135" i="15"/>
  <c r="B134" i="15"/>
  <c r="B132" i="15"/>
  <c r="B131" i="15"/>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4" i="6"/>
  <c r="C143"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2" i="6"/>
  <c r="E112" i="6" s="1"/>
  <c r="C12" i="35"/>
  <c r="F13" i="24"/>
  <c r="F14" i="24"/>
  <c r="F15" i="24"/>
  <c r="F16" i="24"/>
  <c r="F17" i="24"/>
  <c r="F18" i="24"/>
  <c r="F19" i="24"/>
  <c r="F20" i="24"/>
  <c r="F21" i="24"/>
  <c r="F22" i="24"/>
  <c r="F23" i="24"/>
  <c r="F24" i="24"/>
  <c r="F25" i="24"/>
  <c r="F26" i="24"/>
  <c r="E91" i="6"/>
  <c r="C91" i="6"/>
  <c r="E149" i="6"/>
  <c r="C149" i="6"/>
  <c r="E110" i="6"/>
  <c r="C110" i="6"/>
  <c r="E101" i="6"/>
  <c r="C101" i="6"/>
  <c r="C9" i="35"/>
  <c r="B15" i="24"/>
  <c r="B16" i="24"/>
  <c r="B17" i="24"/>
  <c r="B18" i="24"/>
  <c r="B19" i="24"/>
  <c r="B20" i="24"/>
  <c r="B21" i="24"/>
  <c r="B22" i="24"/>
  <c r="B23" i="24"/>
  <c r="B24" i="24"/>
  <c r="B25" i="24"/>
  <c r="B26" i="24"/>
  <c r="C131" i="6"/>
  <c r="B132"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3"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4"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AI507" i="11" l="1"/>
  <c r="B186" i="15"/>
  <c r="Q65" i="15"/>
  <c r="B15" i="13"/>
  <c r="D54" i="119"/>
  <c r="D189" i="119"/>
  <c r="D191" i="119"/>
  <c r="G60" i="119"/>
  <c r="G189" i="119"/>
  <c r="G191" i="119"/>
  <c r="E56" i="119"/>
  <c r="E189" i="119"/>
  <c r="E249" i="119" s="1"/>
  <c r="E191" i="119"/>
  <c r="H6" i="119"/>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E276" i="11"/>
  <c r="AF276" i="11" s="1"/>
  <c r="AG276" i="11" s="1"/>
  <c r="AH276" i="11" s="1"/>
  <c r="AQ34" i="12"/>
  <c r="G7" i="12"/>
  <c r="H38" i="34"/>
  <c r="B116" i="34"/>
  <c r="G49" i="11"/>
  <c r="G50" i="11" s="1"/>
  <c r="G10" i="12"/>
  <c r="D102" i="6"/>
  <c r="E102"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9" i="6"/>
  <c r="P5" i="19"/>
  <c r="AA94" i="12"/>
  <c r="AP34" i="12"/>
  <c r="AJ98" i="12"/>
  <c r="AR94" i="12"/>
  <c r="AE34" i="12"/>
  <c r="AE98" i="12"/>
  <c r="AT94" i="12"/>
  <c r="BD94" i="12"/>
  <c r="AU94" i="12"/>
  <c r="AI94" i="12"/>
  <c r="AS94" i="12"/>
  <c r="T98" i="12"/>
  <c r="N18" i="12"/>
  <c r="D93"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AY276" i="11"/>
  <c r="AZ276" i="11" s="1"/>
  <c r="BA276" i="11" s="1"/>
  <c r="BB276" i="11" s="1"/>
  <c r="BC276" i="11" s="1"/>
  <c r="BD276" i="11" s="1"/>
  <c r="BE276" i="11" s="1"/>
  <c r="BF276" i="11" s="1"/>
  <c r="BG276" i="11" s="1"/>
  <c r="BH276" i="11" s="1"/>
  <c r="BI276" i="11" s="1"/>
  <c r="BJ276" i="11" s="1"/>
  <c r="BK276" i="11" s="1"/>
  <c r="BL276" i="11" s="1"/>
  <c r="U95" i="12"/>
  <c r="AJ95" i="12"/>
  <c r="AB95" i="12"/>
  <c r="AA95" i="12"/>
  <c r="F28" i="12"/>
  <c r="F61" i="12"/>
  <c r="F92" i="12"/>
  <c r="F89" i="12"/>
  <c r="F11" i="12"/>
  <c r="F26" i="12"/>
  <c r="F10" i="12"/>
  <c r="F7" i="12"/>
  <c r="R7" i="12" s="1"/>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Z677" i="11"/>
  <c r="AA507" i="11" s="1"/>
  <c r="AB507" i="11" s="1"/>
  <c r="AC507" i="11" s="1"/>
  <c r="AD507" i="11" s="1"/>
  <c r="AE507" i="11" s="1"/>
  <c r="AF507" i="11" s="1"/>
  <c r="AG507" i="11" s="1"/>
  <c r="AH507" i="11" s="1"/>
  <c r="AX507" i="11"/>
  <c r="AX488" i="11"/>
  <c r="AJ254" i="11"/>
  <c r="AK254" i="11" s="1"/>
  <c r="AL254" i="11" s="1"/>
  <c r="AM254" i="11" s="1"/>
  <c r="AN254" i="11" s="1"/>
  <c r="AO254" i="11" s="1"/>
  <c r="AP254" i="11" s="1"/>
  <c r="AQ254" i="11" s="1"/>
  <c r="AR254" i="11" s="1"/>
  <c r="AS254" i="11" s="1"/>
  <c r="AT254" i="11" s="1"/>
  <c r="AU254" i="11" s="1"/>
  <c r="AV254" i="11" s="1"/>
  <c r="AW254" i="11" s="1"/>
  <c r="AE254" i="11"/>
  <c r="AF254" i="11" s="1"/>
  <c r="AG254" i="11" s="1"/>
  <c r="AH254" i="11" s="1"/>
  <c r="AX254" i="1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AG97" i="12" s="1"/>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AL28"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4" i="6"/>
  <c r="E94"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T9" i="12"/>
  <c r="AF9"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5"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6" i="6"/>
  <c r="E96" i="6" s="1"/>
  <c r="D28" i="35"/>
  <c r="D33" i="35"/>
  <c r="F33" i="35" s="1"/>
  <c r="D18" i="35"/>
  <c r="D92" i="6"/>
  <c r="D24" i="35"/>
  <c r="C21" i="24" s="1"/>
  <c r="H21" i="24" s="1"/>
  <c r="D95"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8" i="6"/>
  <c r="I17" i="12"/>
  <c r="Z34" i="12"/>
  <c r="AM12" i="12"/>
  <c r="BN12" i="12"/>
  <c r="K17" i="12"/>
  <c r="T66" i="12"/>
  <c r="H12" i="12"/>
  <c r="M12" i="12"/>
  <c r="D97" i="6"/>
  <c r="E97"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8" i="6"/>
  <c r="D161"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C86" i="119"/>
  <c r="D86" i="119" s="1"/>
  <c r="F58" i="119"/>
  <c r="N101" i="119"/>
  <c r="N107" i="119"/>
  <c r="N103" i="119"/>
  <c r="N105" i="119"/>
  <c r="N104" i="119"/>
  <c r="N106" i="119"/>
  <c r="N102" i="119"/>
  <c r="B68" i="6"/>
  <c r="B67" i="6"/>
  <c r="B66" i="6"/>
  <c r="C25" i="33"/>
  <c r="C281" i="15"/>
  <c r="AJ32" i="12" l="1"/>
  <c r="B16"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AJ358" i="11"/>
  <c r="AK358" i="11" s="1"/>
  <c r="AL358" i="11" s="1"/>
  <c r="AM358" i="11" s="1"/>
  <c r="AN358" i="11" s="1"/>
  <c r="AO358" i="11" s="1"/>
  <c r="AP358" i="11" s="1"/>
  <c r="AQ358" i="11" s="1"/>
  <c r="AR358" i="11" s="1"/>
  <c r="AS358" i="11" s="1"/>
  <c r="AT358" i="11" s="1"/>
  <c r="AU358" i="11" s="1"/>
  <c r="AV358" i="11" s="1"/>
  <c r="AW358" i="11" s="1"/>
  <c r="O14" i="12"/>
  <c r="P14" i="12" s="1"/>
  <c r="Q14" i="12" s="1"/>
  <c r="R14" i="12" s="1"/>
  <c r="S14" i="12" s="1"/>
  <c r="T14" i="12" s="1"/>
  <c r="C132"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AI8" i="12"/>
  <c r="AJ8" i="12" s="1"/>
  <c r="AK8" i="12" s="1"/>
  <c r="AL8" i="12" s="1"/>
  <c r="AM8" i="12" s="1"/>
  <c r="AN8" i="12" s="1"/>
  <c r="AO8" i="12" s="1"/>
  <c r="AP8" i="12" s="1"/>
  <c r="AQ8" i="12" s="1"/>
  <c r="AR8" i="12" s="1"/>
  <c r="AS8" i="12" s="1"/>
  <c r="AT8" i="12" s="1"/>
  <c r="AU8" i="12" s="1"/>
  <c r="AV8" i="12" s="1"/>
  <c r="AW8" i="12" s="1"/>
  <c r="AX8" i="12" s="1"/>
  <c r="AY8" i="12" s="1"/>
  <c r="AZ8" i="12" s="1"/>
  <c r="BA8" i="12" s="1"/>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33" i="34"/>
  <c r="C111" i="3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D281" i="15"/>
  <c r="C67" i="6"/>
  <c r="C282" i="15"/>
  <c r="B17" i="13" l="1"/>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H27" i="24"/>
  <c r="C27" i="2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18" i="13" l="1"/>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B19" i="13" l="1"/>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B20" i="13" l="1"/>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E105"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c r="B75" i="15"/>
  <c r="A24" i="13" s="1"/>
  <c r="B29" i="17"/>
  <c r="C28" i="17"/>
  <c r="C73" i="15"/>
  <c r="C74" i="15" s="1"/>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B23" i="13" l="1"/>
  <c r="B76" i="15"/>
  <c r="AF74" i="15"/>
  <c r="L74" i="15"/>
  <c r="A58" i="14"/>
  <c r="A106" i="14"/>
  <c r="C106" i="14" s="1"/>
  <c r="D74" i="15"/>
  <c r="M74" i="15" s="1"/>
  <c r="H74" i="15"/>
  <c r="K74" i="15"/>
  <c r="W74" i="15"/>
  <c r="C75" i="15"/>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B77" i="15" l="1"/>
  <c r="A26" i="13" s="1"/>
  <c r="A25" i="13"/>
  <c r="B24" i="13"/>
  <c r="C76" i="15"/>
  <c r="B78" i="15"/>
  <c r="A27" i="13" s="1"/>
  <c r="K75" i="15"/>
  <c r="L75" i="15"/>
  <c r="A107" i="14"/>
  <c r="C107" i="14" s="1"/>
  <c r="H75" i="15"/>
  <c r="AF75" i="15"/>
  <c r="W75" i="15"/>
  <c r="A59" i="14"/>
  <c r="D75" i="15"/>
  <c r="M75" i="15" s="1"/>
  <c r="C30" i="17"/>
  <c r="B31" i="17"/>
  <c r="A148" i="15"/>
  <c r="A195" i="15" s="1"/>
  <c r="A27" i="17"/>
  <c r="A75" i="15"/>
  <c r="E74" i="15"/>
  <c r="Q147" i="15"/>
  <c r="R147" i="15"/>
  <c r="V147" i="15"/>
  <c r="L147" i="15"/>
  <c r="T147" i="15"/>
  <c r="P147" i="15"/>
  <c r="M147" i="15"/>
  <c r="U147" i="15"/>
  <c r="I147" i="15"/>
  <c r="H147" i="15"/>
  <c r="N147" i="15"/>
  <c r="C147" i="15"/>
  <c r="E147" i="15"/>
  <c r="D147" i="15"/>
  <c r="B25" i="13" l="1"/>
  <c r="A60" i="14"/>
  <c r="L76" i="15"/>
  <c r="H76" i="15"/>
  <c r="W76" i="15"/>
  <c r="C77" i="15"/>
  <c r="C78" i="15" s="1"/>
  <c r="A110" i="14" s="1"/>
  <c r="C110" i="14" s="1"/>
  <c r="AF76" i="15"/>
  <c r="A108" i="14"/>
  <c r="C108" i="14" s="1"/>
  <c r="D76" i="15"/>
  <c r="M76" i="15" s="1"/>
  <c r="K76" i="15"/>
  <c r="B79" i="15"/>
  <c r="A28" i="13" s="1"/>
  <c r="C31" i="17"/>
  <c r="B32" i="17"/>
  <c r="P148" i="15"/>
  <c r="U148" i="15"/>
  <c r="L148" i="15"/>
  <c r="Q148" i="15"/>
  <c r="R148" i="15"/>
  <c r="M148" i="15"/>
  <c r="H148" i="15"/>
  <c r="N148" i="15"/>
  <c r="V148" i="15"/>
  <c r="T148" i="15"/>
  <c r="I148" i="15"/>
  <c r="A149" i="15"/>
  <c r="A196" i="15" s="1"/>
  <c r="A28" i="17"/>
  <c r="A76" i="15"/>
  <c r="E75" i="15"/>
  <c r="E148" i="15"/>
  <c r="D148" i="15"/>
  <c r="C148" i="15"/>
  <c r="B26" i="13" l="1"/>
  <c r="C79" i="15"/>
  <c r="A63" i="14" s="1"/>
  <c r="A62" i="14"/>
  <c r="D78" i="15"/>
  <c r="M78" i="15" s="1"/>
  <c r="W78" i="15"/>
  <c r="K78" i="15"/>
  <c r="D77" i="15"/>
  <c r="M77" i="15" s="1"/>
  <c r="H77" i="15"/>
  <c r="A109" i="14"/>
  <c r="C109" i="14" s="1"/>
  <c r="K77" i="15"/>
  <c r="L77" i="15"/>
  <c r="W77" i="15"/>
  <c r="A61" i="14"/>
  <c r="AF77" i="15"/>
  <c r="L78" i="15"/>
  <c r="AF78" i="15"/>
  <c r="H78" i="15"/>
  <c r="B80" i="15"/>
  <c r="A29" i="13" s="1"/>
  <c r="B33" i="17"/>
  <c r="C32" i="17"/>
  <c r="P149" i="15"/>
  <c r="Q149" i="15"/>
  <c r="H149" i="15"/>
  <c r="I149" i="15"/>
  <c r="N149" i="15"/>
  <c r="R149" i="15"/>
  <c r="V149" i="15"/>
  <c r="M149" i="15"/>
  <c r="L149" i="15"/>
  <c r="T149" i="15"/>
  <c r="U149" i="15"/>
  <c r="A29" i="17"/>
  <c r="A150" i="15"/>
  <c r="A197" i="15" s="1"/>
  <c r="A77" i="15"/>
  <c r="E76" i="15"/>
  <c r="D149" i="15"/>
  <c r="C149" i="15"/>
  <c r="E149" i="15"/>
  <c r="B27" i="13" l="1"/>
  <c r="K79" i="15"/>
  <c r="H79" i="15"/>
  <c r="W79" i="15"/>
  <c r="C80" i="15"/>
  <c r="A64" i="14" s="1"/>
  <c r="A111" i="14"/>
  <c r="C111" i="14" s="1"/>
  <c r="L79" i="15"/>
  <c r="D79" i="15"/>
  <c r="M79" i="15" s="1"/>
  <c r="AF79" i="15"/>
  <c r="B81" i="15"/>
  <c r="A30" i="13" s="1"/>
  <c r="C33" i="17"/>
  <c r="B34" i="17"/>
  <c r="A30" i="17"/>
  <c r="A151" i="15"/>
  <c r="A198" i="15" s="1"/>
  <c r="A78" i="15"/>
  <c r="E77" i="15"/>
  <c r="P150" i="15"/>
  <c r="U150" i="15"/>
  <c r="I150" i="15"/>
  <c r="R150" i="15"/>
  <c r="Q150" i="15"/>
  <c r="V150" i="15"/>
  <c r="L150" i="15"/>
  <c r="N150" i="15"/>
  <c r="T150" i="15"/>
  <c r="M150" i="15"/>
  <c r="H150" i="15"/>
  <c r="E150" i="15"/>
  <c r="D150" i="15"/>
  <c r="C150" i="15"/>
  <c r="B28" i="13" l="1"/>
  <c r="AF80" i="15"/>
  <c r="W80" i="15"/>
  <c r="H80" i="15"/>
  <c r="A112" i="14"/>
  <c r="C112" i="14" s="1"/>
  <c r="D80" i="15"/>
  <c r="M80" i="15" s="1"/>
  <c r="K80" i="15"/>
  <c r="L80" i="15"/>
  <c r="C81" i="15"/>
  <c r="W81" i="15" s="1"/>
  <c r="B82" i="15"/>
  <c r="B35" i="17"/>
  <c r="C34" i="17"/>
  <c r="A31" i="17"/>
  <c r="A152" i="15"/>
  <c r="A199" i="15" s="1"/>
  <c r="A79" i="15"/>
  <c r="E78" i="15"/>
  <c r="Q151" i="15"/>
  <c r="P151" i="15"/>
  <c r="T151" i="15"/>
  <c r="U151" i="15"/>
  <c r="I151" i="15"/>
  <c r="V151" i="15"/>
  <c r="L151" i="15"/>
  <c r="R151" i="15"/>
  <c r="N151" i="15"/>
  <c r="H151" i="15"/>
  <c r="M151" i="15"/>
  <c r="C151" i="15"/>
  <c r="E151" i="15"/>
  <c r="D151" i="15"/>
  <c r="B83" i="15" l="1"/>
  <c r="A32" i="13" s="1"/>
  <c r="A31" i="13"/>
  <c r="B29" i="13"/>
  <c r="A113" i="14"/>
  <c r="C113" i="14" s="1"/>
  <c r="H81" i="15"/>
  <c r="D81" i="15"/>
  <c r="M81" i="15" s="1"/>
  <c r="AF81" i="15"/>
  <c r="L81" i="15"/>
  <c r="C82" i="15"/>
  <c r="K82" i="15" s="1"/>
  <c r="K81" i="15"/>
  <c r="A65" i="14"/>
  <c r="B84" i="15"/>
  <c r="A33" i="13" s="1"/>
  <c r="B36" i="17"/>
  <c r="C35" i="17"/>
  <c r="A32" i="17"/>
  <c r="A153" i="15"/>
  <c r="A200" i="15" s="1"/>
  <c r="A80" i="15"/>
  <c r="E79" i="15"/>
  <c r="P152" i="15"/>
  <c r="Q152" i="15"/>
  <c r="R152" i="15"/>
  <c r="H152" i="15"/>
  <c r="N152" i="15"/>
  <c r="I152" i="15"/>
  <c r="U152" i="15"/>
  <c r="T152" i="15"/>
  <c r="M152" i="15"/>
  <c r="L152" i="15"/>
  <c r="V152" i="15"/>
  <c r="C152" i="15"/>
  <c r="E152" i="15"/>
  <c r="D152" i="15"/>
  <c r="B30" i="13" l="1"/>
  <c r="D82" i="15"/>
  <c r="M82" i="15" s="1"/>
  <c r="A114" i="14"/>
  <c r="C114" i="14" s="1"/>
  <c r="C83" i="15"/>
  <c r="D83" i="15" s="1"/>
  <c r="M83" i="15" s="1"/>
  <c r="W82" i="15"/>
  <c r="A66" i="14"/>
  <c r="H82" i="15"/>
  <c r="AF82" i="15"/>
  <c r="L82" i="15"/>
  <c r="B37" i="17"/>
  <c r="C36" i="17"/>
  <c r="B85" i="15"/>
  <c r="A34" i="13" s="1"/>
  <c r="A33" i="17"/>
  <c r="A154" i="15"/>
  <c r="A201" i="15" s="1"/>
  <c r="A81" i="15"/>
  <c r="E80" i="15"/>
  <c r="M153" i="15"/>
  <c r="V153" i="15"/>
  <c r="P153" i="15"/>
  <c r="R153" i="15"/>
  <c r="L153" i="15"/>
  <c r="H153" i="15"/>
  <c r="Q153" i="15"/>
  <c r="N153" i="15"/>
  <c r="T153" i="15"/>
  <c r="I153" i="15"/>
  <c r="U153" i="15"/>
  <c r="C153" i="15"/>
  <c r="D153" i="15"/>
  <c r="E153" i="15"/>
  <c r="B31" i="13" l="1"/>
  <c r="A67" i="14"/>
  <c r="H83" i="15"/>
  <c r="A115" i="14"/>
  <c r="C115" i="14" s="1"/>
  <c r="W83" i="15"/>
  <c r="L83" i="15"/>
  <c r="C84" i="15"/>
  <c r="L84" i="15" s="1"/>
  <c r="AF83" i="15"/>
  <c r="K83" i="15"/>
  <c r="B38" i="17"/>
  <c r="C37" i="17"/>
  <c r="B86" i="15"/>
  <c r="A35" i="13" s="1"/>
  <c r="P154" i="15"/>
  <c r="I154" i="15"/>
  <c r="R154" i="15"/>
  <c r="M154" i="15"/>
  <c r="H154" i="15"/>
  <c r="L154" i="15"/>
  <c r="N154" i="15"/>
  <c r="Q154" i="15"/>
  <c r="U154" i="15"/>
  <c r="V154" i="15"/>
  <c r="T154" i="15"/>
  <c r="A34" i="17"/>
  <c r="A155" i="15"/>
  <c r="A202" i="15" s="1"/>
  <c r="A82" i="15"/>
  <c r="E81" i="15"/>
  <c r="D154" i="15"/>
  <c r="C154" i="15"/>
  <c r="E154" i="15"/>
  <c r="B32" i="13" l="1"/>
  <c r="A68" i="14"/>
  <c r="AF84" i="15"/>
  <c r="W84" i="15"/>
  <c r="A116" i="14"/>
  <c r="C116" i="14" s="1"/>
  <c r="H84" i="15"/>
  <c r="K84" i="15"/>
  <c r="C85" i="15"/>
  <c r="K85" i="15" s="1"/>
  <c r="D84" i="15"/>
  <c r="M84" i="15" s="1"/>
  <c r="C38" i="17"/>
  <c r="B39" i="17"/>
  <c r="B87" i="15"/>
  <c r="A156" i="15"/>
  <c r="A203" i="15" s="1"/>
  <c r="A35" i="17"/>
  <c r="A83" i="15"/>
  <c r="E82" i="15"/>
  <c r="Q155" i="15"/>
  <c r="P155" i="15"/>
  <c r="T155" i="15"/>
  <c r="M155" i="15"/>
  <c r="I155" i="15"/>
  <c r="V155" i="15"/>
  <c r="N155" i="15"/>
  <c r="L155" i="15"/>
  <c r="H155" i="15"/>
  <c r="U155" i="15"/>
  <c r="R155" i="15"/>
  <c r="E155" i="15"/>
  <c r="D155" i="15"/>
  <c r="C155" i="15"/>
  <c r="B88" i="15" l="1"/>
  <c r="A37" i="13" s="1"/>
  <c r="A36" i="13"/>
  <c r="B33" i="13"/>
  <c r="W85" i="15"/>
  <c r="A69" i="14"/>
  <c r="AF85" i="15"/>
  <c r="C86" i="15"/>
  <c r="A118" i="14" s="1"/>
  <c r="C118" i="14" s="1"/>
  <c r="D85" i="15"/>
  <c r="M85" i="15" s="1"/>
  <c r="H85" i="15"/>
  <c r="L85" i="15"/>
  <c r="A117" i="14"/>
  <c r="C117" i="14" s="1"/>
  <c r="B40" i="17"/>
  <c r="C39" i="17"/>
  <c r="B89" i="15"/>
  <c r="P156" i="15"/>
  <c r="V156" i="15"/>
  <c r="R156" i="15"/>
  <c r="Q156" i="15"/>
  <c r="H156" i="15"/>
  <c r="L156" i="15"/>
  <c r="N156" i="15"/>
  <c r="M156" i="15"/>
  <c r="U156" i="15"/>
  <c r="T156" i="15"/>
  <c r="I156" i="15"/>
  <c r="H86" i="15"/>
  <c r="A36" i="17"/>
  <c r="A157" i="15"/>
  <c r="A204" i="15" s="1"/>
  <c r="A84" i="15"/>
  <c r="E83" i="15"/>
  <c r="C156" i="15"/>
  <c r="D156" i="15"/>
  <c r="E156" i="15"/>
  <c r="B90" i="15" l="1"/>
  <c r="A39" i="13" s="1"/>
  <c r="A38" i="13"/>
  <c r="A70" i="14"/>
  <c r="B34" i="13"/>
  <c r="K86" i="15"/>
  <c r="C87" i="15"/>
  <c r="C88" i="15" s="1"/>
  <c r="W86" i="15"/>
  <c r="AF86" i="15"/>
  <c r="L86" i="15"/>
  <c r="D86" i="15"/>
  <c r="M86" i="15" s="1"/>
  <c r="B91" i="15"/>
  <c r="A40" i="13" s="1"/>
  <c r="C40" i="17"/>
  <c r="B41" i="17"/>
  <c r="A37" i="17"/>
  <c r="A158" i="15"/>
  <c r="A205" i="15" s="1"/>
  <c r="A85" i="15"/>
  <c r="E84" i="15"/>
  <c r="Q157" i="15"/>
  <c r="P157" i="15"/>
  <c r="U157" i="15"/>
  <c r="L157" i="15"/>
  <c r="V157" i="15"/>
  <c r="N157" i="15"/>
  <c r="R157" i="15"/>
  <c r="H157" i="15"/>
  <c r="T157" i="15"/>
  <c r="I157" i="15"/>
  <c r="M157" i="15"/>
  <c r="E157" i="15"/>
  <c r="D157" i="15"/>
  <c r="C157" i="15"/>
  <c r="B35" i="13" l="1"/>
  <c r="W87" i="15"/>
  <c r="D87" i="15"/>
  <c r="K87" i="15"/>
  <c r="A71" i="14"/>
  <c r="H87" i="15"/>
  <c r="A119" i="14"/>
  <c r="C119" i="14" s="1"/>
  <c r="AF87" i="15"/>
  <c r="B42" i="17"/>
  <c r="C41" i="17"/>
  <c r="B92" i="15"/>
  <c r="A159" i="15"/>
  <c r="A206" i="15" s="1"/>
  <c r="A38" i="17"/>
  <c r="A86" i="15"/>
  <c r="E85" i="15"/>
  <c r="P158" i="15"/>
  <c r="Q158" i="15"/>
  <c r="I158" i="15"/>
  <c r="V158" i="15"/>
  <c r="L158" i="15"/>
  <c r="H158" i="15"/>
  <c r="U158" i="15"/>
  <c r="M158" i="15"/>
  <c r="T158" i="15"/>
  <c r="N158" i="15"/>
  <c r="R158" i="15"/>
  <c r="H88" i="15"/>
  <c r="L88" i="15"/>
  <c r="W88" i="15"/>
  <c r="A120" i="14"/>
  <c r="D88" i="15"/>
  <c r="M88" i="15" s="1"/>
  <c r="K88" i="15"/>
  <c r="AF88" i="15"/>
  <c r="A72" i="14"/>
  <c r="C89" i="15"/>
  <c r="E158" i="15"/>
  <c r="D158" i="15"/>
  <c r="C158" i="15"/>
  <c r="B93" i="15" l="1"/>
  <c r="A42" i="13" s="1"/>
  <c r="A41" i="13"/>
  <c r="B36" i="13"/>
  <c r="B94" i="15"/>
  <c r="A43" i="13" s="1"/>
  <c r="C42" i="17"/>
  <c r="B43" i="17"/>
  <c r="AF89" i="15"/>
  <c r="A73" i="14"/>
  <c r="A121" i="14"/>
  <c r="K89" i="15"/>
  <c r="L89" i="15"/>
  <c r="W89" i="15"/>
  <c r="D89" i="15"/>
  <c r="M89" i="15" s="1"/>
  <c r="H89" i="15"/>
  <c r="C90" i="15"/>
  <c r="A160" i="15"/>
  <c r="A207" i="15" s="1"/>
  <c r="A39" i="17"/>
  <c r="A87" i="15"/>
  <c r="E86" i="15"/>
  <c r="Q159" i="15"/>
  <c r="P159" i="15"/>
  <c r="U159" i="15"/>
  <c r="I159" i="15"/>
  <c r="N159" i="15"/>
  <c r="H159" i="15"/>
  <c r="T159" i="15"/>
  <c r="R159" i="15"/>
  <c r="V159" i="15"/>
  <c r="L159" i="15"/>
  <c r="M159" i="15"/>
  <c r="E159" i="15"/>
  <c r="D159" i="15"/>
  <c r="C159" i="15"/>
  <c r="B37" i="13" l="1"/>
  <c r="B95" i="15"/>
  <c r="A44" i="13" s="1"/>
  <c r="C43" i="17"/>
  <c r="B44" i="17"/>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C160" i="15"/>
  <c r="B38" i="13" l="1"/>
  <c r="B96" i="15"/>
  <c r="A45" i="13" s="1"/>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V161" i="15"/>
  <c r="D161" i="15"/>
  <c r="E161" i="15"/>
  <c r="C161" i="15"/>
  <c r="B39" i="13" l="1"/>
  <c r="B97" i="15"/>
  <c r="C45" i="17"/>
  <c r="B46" i="17"/>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C162" i="15"/>
  <c r="B98" i="15" l="1"/>
  <c r="A47" i="13" s="1"/>
  <c r="A46" i="13"/>
  <c r="B40" i="13"/>
  <c r="C46" i="17"/>
  <c r="B47" i="17"/>
  <c r="B99" i="15"/>
  <c r="A48" i="13" s="1"/>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C163" i="15"/>
  <c r="B41" i="13" l="1"/>
  <c r="C47" i="17"/>
  <c r="B48" i="17"/>
  <c r="A126" i="14"/>
  <c r="A78" i="14"/>
  <c r="D94" i="15"/>
  <c r="M94" i="15" s="1"/>
  <c r="K94" i="15"/>
  <c r="AF94" i="15"/>
  <c r="W94" i="15"/>
  <c r="L94" i="15"/>
  <c r="H94" i="15"/>
  <c r="C95" i="15"/>
  <c r="P164" i="15"/>
  <c r="Q164" i="15"/>
  <c r="R164" i="15"/>
  <c r="N164" i="15"/>
  <c r="L164" i="15"/>
  <c r="T164" i="15"/>
  <c r="H164" i="15"/>
  <c r="U164" i="15"/>
  <c r="V164" i="15"/>
  <c r="M164" i="15"/>
  <c r="I164" i="15"/>
  <c r="B100" i="15"/>
  <c r="A49" i="13" s="1"/>
  <c r="A44" i="17"/>
  <c r="A165" i="15"/>
  <c r="A212" i="15" s="1"/>
  <c r="A92" i="15"/>
  <c r="E91" i="15"/>
  <c r="E164" i="15"/>
  <c r="C164" i="15"/>
  <c r="D164" i="15"/>
  <c r="B42" i="13" l="1"/>
  <c r="C48" i="17"/>
  <c r="B49" i="17"/>
  <c r="A45" i="17"/>
  <c r="A166" i="15"/>
  <c r="A213" i="15" s="1"/>
  <c r="A93" i="15"/>
  <c r="E92" i="15"/>
  <c r="P165" i="15"/>
  <c r="Q165" i="15"/>
  <c r="I165" i="15"/>
  <c r="M165" i="15"/>
  <c r="H165" i="15"/>
  <c r="L165" i="15"/>
  <c r="N165" i="15"/>
  <c r="R165" i="15"/>
  <c r="U165" i="15"/>
  <c r="V165" i="15"/>
  <c r="T165" i="15"/>
  <c r="B101" i="15"/>
  <c r="A50" i="13" s="1"/>
  <c r="H95" i="15"/>
  <c r="AF95" i="15"/>
  <c r="W95" i="15"/>
  <c r="A127" i="14"/>
  <c r="K95" i="15"/>
  <c r="L95" i="15"/>
  <c r="D95" i="15"/>
  <c r="M95" i="15" s="1"/>
  <c r="A79" i="14"/>
  <c r="C96" i="15"/>
  <c r="E165" i="15"/>
  <c r="D165" i="15"/>
  <c r="C165" i="15"/>
  <c r="B43" i="13" l="1"/>
  <c r="C121" i="14"/>
  <c r="C49" i="17"/>
  <c r="B50" i="17"/>
  <c r="A46" i="17"/>
  <c r="A167" i="15"/>
  <c r="A214" i="15" s="1"/>
  <c r="A94" i="15"/>
  <c r="E93" i="15"/>
  <c r="B102" i="15"/>
  <c r="A51" i="13" s="1"/>
  <c r="D96" i="15"/>
  <c r="M96" i="15" s="1"/>
  <c r="AF96" i="15"/>
  <c r="H96" i="15"/>
  <c r="A128" i="14"/>
  <c r="W96" i="15"/>
  <c r="L96" i="15"/>
  <c r="K96" i="15"/>
  <c r="A80" i="14"/>
  <c r="C97" i="15"/>
  <c r="P166" i="15"/>
  <c r="R166" i="15"/>
  <c r="V166" i="15"/>
  <c r="Q166" i="15"/>
  <c r="I166" i="15"/>
  <c r="L166" i="15"/>
  <c r="T166" i="15"/>
  <c r="H166" i="15"/>
  <c r="M166" i="15"/>
  <c r="U166" i="15"/>
  <c r="N166" i="15"/>
  <c r="D166" i="15"/>
  <c r="C166" i="15"/>
  <c r="E166" i="15"/>
  <c r="B44" i="13" l="1"/>
  <c r="C122" i="14"/>
  <c r="B51" i="17"/>
  <c r="C50" i="17"/>
  <c r="B103" i="15"/>
  <c r="A52" i="13" s="1"/>
  <c r="A168" i="15"/>
  <c r="A215" i="15" s="1"/>
  <c r="A47" i="17"/>
  <c r="A95" i="15"/>
  <c r="E94" i="15"/>
  <c r="Q167" i="15"/>
  <c r="P167" i="15"/>
  <c r="M167" i="15"/>
  <c r="U167" i="15"/>
  <c r="I167" i="15"/>
  <c r="V167" i="15"/>
  <c r="T167" i="15"/>
  <c r="R167" i="15"/>
  <c r="L167" i="15"/>
  <c r="N167" i="15"/>
  <c r="H167" i="15"/>
  <c r="W97" i="15"/>
  <c r="D97" i="15"/>
  <c r="M97" i="15" s="1"/>
  <c r="A81" i="14"/>
  <c r="K97" i="15"/>
  <c r="AF97" i="15"/>
  <c r="H97" i="15"/>
  <c r="A129" i="14"/>
  <c r="L97" i="15"/>
  <c r="C98" i="15"/>
  <c r="D167" i="15"/>
  <c r="E167" i="15"/>
  <c r="C167" i="15"/>
  <c r="B45" i="13" l="1"/>
  <c r="C123" i="14"/>
  <c r="B52" i="17"/>
  <c r="C51" i="17"/>
  <c r="B104" i="15"/>
  <c r="A53" i="13" s="1"/>
  <c r="L98" i="15"/>
  <c r="D98" i="15"/>
  <c r="M98" i="15" s="1"/>
  <c r="A130" i="14"/>
  <c r="AF98" i="15"/>
  <c r="K98" i="15"/>
  <c r="H98" i="15"/>
  <c r="A82" i="14"/>
  <c r="W98" i="15"/>
  <c r="C99" i="15"/>
  <c r="A169" i="15"/>
  <c r="A216" i="15" s="1"/>
  <c r="A48" i="17"/>
  <c r="A96" i="15"/>
  <c r="E95" i="15"/>
  <c r="P168" i="15"/>
  <c r="Q168" i="15"/>
  <c r="I168" i="15"/>
  <c r="V168" i="15"/>
  <c r="N168" i="15"/>
  <c r="M168" i="15"/>
  <c r="T168" i="15"/>
  <c r="L168" i="15"/>
  <c r="H168" i="15"/>
  <c r="U168" i="15"/>
  <c r="R168" i="15"/>
  <c r="E168" i="15"/>
  <c r="D168" i="15"/>
  <c r="C168" i="15"/>
  <c r="B46" i="13" l="1"/>
  <c r="C124" i="14"/>
  <c r="B53" i="17"/>
  <c r="C52" i="17"/>
  <c r="A49" i="17"/>
  <c r="A170" i="15"/>
  <c r="A217" i="15" s="1"/>
  <c r="A97" i="15"/>
  <c r="E96" i="15"/>
  <c r="W99" i="15"/>
  <c r="L99" i="15"/>
  <c r="D99" i="15"/>
  <c r="M99" i="15" s="1"/>
  <c r="AF99" i="15"/>
  <c r="K99" i="15"/>
  <c r="A83" i="14"/>
  <c r="A131" i="14"/>
  <c r="H99" i="15"/>
  <c r="C100" i="15"/>
  <c r="B105" i="15"/>
  <c r="A54" i="13" s="1"/>
  <c r="P169" i="15"/>
  <c r="M169" i="15"/>
  <c r="L169" i="15"/>
  <c r="Q169" i="15"/>
  <c r="N169" i="15"/>
  <c r="I169" i="15"/>
  <c r="V169" i="15"/>
  <c r="H169" i="15"/>
  <c r="R169" i="15"/>
  <c r="T169" i="15"/>
  <c r="U169" i="15"/>
  <c r="E169" i="15"/>
  <c r="D169" i="15"/>
  <c r="C169" i="15"/>
  <c r="B47" i="13" l="1"/>
  <c r="C53" i="17"/>
  <c r="B54" i="17"/>
  <c r="A171" i="15"/>
  <c r="A218" i="15" s="1"/>
  <c r="A50" i="17"/>
  <c r="A98" i="15"/>
  <c r="E97" i="15"/>
  <c r="AF100" i="15"/>
  <c r="L100" i="15"/>
  <c r="A132" i="14"/>
  <c r="H100" i="15"/>
  <c r="W100" i="15"/>
  <c r="K100" i="15"/>
  <c r="D100" i="15"/>
  <c r="M100" i="15" s="1"/>
  <c r="A84" i="14"/>
  <c r="C101" i="15"/>
  <c r="B106" i="15"/>
  <c r="A55" i="13" s="1"/>
  <c r="P170" i="15"/>
  <c r="Q170" i="15"/>
  <c r="L170" i="15"/>
  <c r="N170" i="15"/>
  <c r="R170" i="15"/>
  <c r="I170" i="15"/>
  <c r="T170" i="15"/>
  <c r="V170" i="15"/>
  <c r="U170" i="15"/>
  <c r="M170" i="15"/>
  <c r="H170" i="15"/>
  <c r="E170" i="15"/>
  <c r="D170" i="15"/>
  <c r="C170" i="15"/>
  <c r="B48" i="13" l="1"/>
  <c r="C125" i="14"/>
  <c r="C54" i="17"/>
  <c r="B55" i="17"/>
  <c r="A51" i="17"/>
  <c r="A172" i="15"/>
  <c r="A219" i="15" s="1"/>
  <c r="A99" i="15"/>
  <c r="E98" i="15"/>
  <c r="L101" i="15"/>
  <c r="H101" i="15"/>
  <c r="W101" i="15"/>
  <c r="K101" i="15"/>
  <c r="D101" i="15"/>
  <c r="M101" i="15" s="1"/>
  <c r="AF101" i="15"/>
  <c r="A133" i="14"/>
  <c r="A85" i="14"/>
  <c r="C102" i="15"/>
  <c r="Q171" i="15"/>
  <c r="P171" i="15"/>
  <c r="L171" i="15"/>
  <c r="H171" i="15"/>
  <c r="V171" i="15"/>
  <c r="T171" i="15"/>
  <c r="M171" i="15"/>
  <c r="U171" i="15"/>
  <c r="I171" i="15"/>
  <c r="N171" i="15"/>
  <c r="R171" i="15"/>
  <c r="B107" i="15"/>
  <c r="A56" i="13" s="1"/>
  <c r="E171" i="15"/>
  <c r="D171" i="15"/>
  <c r="C171" i="15"/>
  <c r="B49" i="13" l="1"/>
  <c r="C126" i="14"/>
  <c r="C127" i="14"/>
  <c r="B56" i="17"/>
  <c r="C55" i="17"/>
  <c r="A52" i="17"/>
  <c r="A173" i="15"/>
  <c r="A220" i="15" s="1"/>
  <c r="A100" i="15"/>
  <c r="E99" i="15"/>
  <c r="B108" i="15"/>
  <c r="A57" i="13" s="1"/>
  <c r="K102" i="15"/>
  <c r="AF102" i="15"/>
  <c r="W102" i="15"/>
  <c r="A86" i="14"/>
  <c r="H102" i="15"/>
  <c r="D102" i="15"/>
  <c r="A134" i="14"/>
  <c r="C103" i="15"/>
  <c r="P172" i="15"/>
  <c r="L172" i="15"/>
  <c r="V172" i="15"/>
  <c r="U172" i="15"/>
  <c r="M172" i="15"/>
  <c r="N172" i="15"/>
  <c r="Q172" i="15"/>
  <c r="I172" i="15"/>
  <c r="H172" i="15"/>
  <c r="T172" i="15"/>
  <c r="R172" i="15"/>
  <c r="D172" i="15"/>
  <c r="C172" i="15"/>
  <c r="E172" i="15"/>
  <c r="B50" i="13" l="1"/>
  <c r="C128" i="14"/>
  <c r="C56" i="17"/>
  <c r="B57" i="17"/>
  <c r="W103" i="15"/>
  <c r="L103" i="15"/>
  <c r="K103" i="15"/>
  <c r="A135" i="14"/>
  <c r="A87" i="14"/>
  <c r="AF103" i="15"/>
  <c r="H103" i="15"/>
  <c r="D103" i="15"/>
  <c r="M103" i="15" s="1"/>
  <c r="C104" i="15"/>
  <c r="A53" i="17"/>
  <c r="A174" i="15"/>
  <c r="A221" i="15" s="1"/>
  <c r="A101" i="15"/>
  <c r="E100" i="15"/>
  <c r="S108" i="15"/>
  <c r="B109" i="15"/>
  <c r="P173" i="15"/>
  <c r="Q173" i="15"/>
  <c r="V173" i="15"/>
  <c r="U173" i="15"/>
  <c r="M173" i="15"/>
  <c r="I173" i="15"/>
  <c r="L173" i="15"/>
  <c r="N173" i="15"/>
  <c r="H173" i="15"/>
  <c r="R173" i="15"/>
  <c r="T173" i="15"/>
  <c r="E173" i="15"/>
  <c r="D173" i="15"/>
  <c r="C173" i="15"/>
  <c r="B51" i="13" l="1"/>
  <c r="C57" i="17"/>
  <c r="S109" i="15"/>
  <c r="B110" i="15"/>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E174" i="15"/>
  <c r="D174" i="15"/>
  <c r="C174" i="15"/>
  <c r="B52" i="13" l="1"/>
  <c r="C129" i="14"/>
  <c r="D105" i="15"/>
  <c r="M105" i="15" s="1"/>
  <c r="A137" i="14"/>
  <c r="A89" i="14"/>
  <c r="L105" i="15"/>
  <c r="K105" i="15"/>
  <c r="W105" i="15"/>
  <c r="H105" i="15"/>
  <c r="AF105" i="15"/>
  <c r="C106" i="15"/>
  <c r="S110" i="15"/>
  <c r="B111" i="15"/>
  <c r="A176" i="15"/>
  <c r="A223" i="15" s="1"/>
  <c r="A55" i="17"/>
  <c r="A103" i="15"/>
  <c r="E102" i="15"/>
  <c r="Q175" i="15"/>
  <c r="N175" i="15"/>
  <c r="H175" i="15"/>
  <c r="L175" i="15"/>
  <c r="P175" i="15"/>
  <c r="R175" i="15"/>
  <c r="I175" i="15"/>
  <c r="U175" i="15"/>
  <c r="V175" i="15"/>
  <c r="T175" i="15"/>
  <c r="M175" i="15"/>
  <c r="C175" i="15"/>
  <c r="E175" i="15"/>
  <c r="D175" i="15"/>
  <c r="B53" i="13" l="1"/>
  <c r="C130" i="14"/>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C108" i="15" s="1"/>
  <c r="Q108" i="15" s="1"/>
  <c r="S111" i="15"/>
  <c r="B112" i="15"/>
  <c r="A56" i="17"/>
  <c r="A177" i="15"/>
  <c r="A224" i="15" s="1"/>
  <c r="A104" i="15"/>
  <c r="E103" i="15"/>
  <c r="D176" i="15"/>
  <c r="C176" i="15"/>
  <c r="E176" i="15"/>
  <c r="B54" i="13" l="1"/>
  <c r="A140" i="14"/>
  <c r="A92" i="14"/>
  <c r="K108" i="15"/>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S112" i="15"/>
  <c r="B113" i="15"/>
  <c r="A178" i="15"/>
  <c r="A225" i="15" s="1"/>
  <c r="A57" i="17"/>
  <c r="A105" i="15"/>
  <c r="E104" i="15"/>
  <c r="E177" i="15"/>
  <c r="D177" i="15"/>
  <c r="C177" i="15"/>
  <c r="B55" i="13" l="1"/>
  <c r="F54" i="13"/>
  <c r="Z109" i="15"/>
  <c r="W109" i="15"/>
  <c r="K109" i="15"/>
  <c r="A143" i="14"/>
  <c r="L109" i="15"/>
  <c r="AF109" i="15"/>
  <c r="C110" i="15"/>
  <c r="Q110" i="15" s="1"/>
  <c r="AE109" i="15"/>
  <c r="H109" i="15"/>
  <c r="D109" i="15"/>
  <c r="M109" i="15" s="1"/>
  <c r="C132" i="14"/>
  <c r="S113" i="15"/>
  <c r="P178" i="15"/>
  <c r="Q178" i="15"/>
  <c r="N178" i="15"/>
  <c r="R178" i="15"/>
  <c r="U178" i="15"/>
  <c r="I178" i="15"/>
  <c r="M178" i="15"/>
  <c r="V178" i="15"/>
  <c r="L178" i="15"/>
  <c r="H178" i="15"/>
  <c r="T178" i="15"/>
  <c r="Z105" i="15"/>
  <c r="A179" i="15"/>
  <c r="A226" i="15" s="1"/>
  <c r="A106" i="15"/>
  <c r="E105" i="15"/>
  <c r="D178" i="15"/>
  <c r="C178" i="15"/>
  <c r="E178" i="15"/>
  <c r="F55" i="13" l="1"/>
  <c r="B56" i="13"/>
  <c r="AF110" i="15"/>
  <c r="K110" i="15"/>
  <c r="D110" i="15"/>
  <c r="M110" i="15" s="1"/>
  <c r="H110" i="15"/>
  <c r="W110" i="15"/>
  <c r="C111" i="15"/>
  <c r="Q111" i="15" s="1"/>
  <c r="Z110" i="15"/>
  <c r="AE110" i="15"/>
  <c r="L110" i="15"/>
  <c r="C133" i="14"/>
  <c r="Z106" i="15"/>
  <c r="A180" i="15"/>
  <c r="A227" i="15" s="1"/>
  <c r="A107" i="15"/>
  <c r="A108" i="15" s="1"/>
  <c r="E106" i="15"/>
  <c r="Q179" i="15"/>
  <c r="P179" i="15"/>
  <c r="I179" i="15"/>
  <c r="N179" i="15"/>
  <c r="R179" i="15"/>
  <c r="H179" i="15"/>
  <c r="M179" i="15"/>
  <c r="L179" i="15"/>
  <c r="U179" i="15"/>
  <c r="T179" i="15"/>
  <c r="V179" i="15"/>
  <c r="C179" i="15"/>
  <c r="D179" i="15"/>
  <c r="E179" i="15"/>
  <c r="B57" i="13" l="1"/>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C57" i="13" l="1"/>
  <c r="G57" i="13"/>
  <c r="F57" i="13"/>
  <c r="D57" i="13" s="1"/>
  <c r="E57" i="13"/>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C233" i="15"/>
  <c r="I33" i="34" s="1"/>
  <c r="D233" i="15"/>
  <c r="I34" i="34" s="1"/>
  <c r="L87" i="15"/>
  <c r="M87" i="15"/>
  <c r="I48" i="119"/>
  <c r="H48" i="119"/>
  <c r="G48" i="119"/>
  <c r="E48" i="119"/>
  <c r="D48" i="119"/>
  <c r="C26" i="6" s="1"/>
  <c r="C48" i="119"/>
  <c r="C25" i="6" s="1"/>
  <c r="B22" i="15" s="1"/>
  <c r="F48" i="119"/>
  <c r="C52" i="6" l="1"/>
  <c r="X59" i="15" s="1"/>
  <c r="E78" i="6"/>
  <c r="E75" i="6"/>
  <c r="C134" i="6"/>
  <c r="C69" i="6"/>
  <c r="B20" i="15"/>
  <c r="B21" i="15" s="1"/>
  <c r="C4" i="119"/>
  <c r="D199" i="119" s="1"/>
  <c r="C27" i="6"/>
  <c r="C28" i="6" s="1"/>
  <c r="C4" i="24"/>
  <c r="C3" i="119"/>
  <c r="C199" i="119" s="1"/>
  <c r="G152" i="15"/>
  <c r="G174" i="15"/>
  <c r="G168" i="15"/>
  <c r="G158" i="15"/>
  <c r="G139" i="15"/>
  <c r="G179" i="15"/>
  <c r="G156" i="15"/>
  <c r="G144" i="15"/>
  <c r="G161" i="15"/>
  <c r="G167" i="15"/>
  <c r="G148" i="15"/>
  <c r="G170" i="15"/>
  <c r="G153" i="15"/>
  <c r="G147" i="15"/>
  <c r="G143" i="15"/>
  <c r="G160" i="15"/>
  <c r="G172" i="15"/>
  <c r="G171" i="15"/>
  <c r="G151" i="15"/>
  <c r="G155" i="15"/>
  <c r="G157" i="15"/>
  <c r="G159" i="15"/>
  <c r="G141" i="15"/>
  <c r="G163" i="15"/>
  <c r="G166" i="15"/>
  <c r="G165" i="15"/>
  <c r="G181" i="15"/>
  <c r="G146" i="15"/>
  <c r="G142" i="15"/>
  <c r="G177" i="15"/>
  <c r="G175" i="15"/>
  <c r="G180" i="15"/>
  <c r="G176" i="15"/>
  <c r="G149" i="15"/>
  <c r="G150" i="15"/>
  <c r="G169" i="15"/>
  <c r="G173" i="15"/>
  <c r="G140" i="15"/>
  <c r="G178" i="15"/>
  <c r="G162" i="15"/>
  <c r="G154" i="15"/>
  <c r="G164" i="15"/>
  <c r="G145" i="15"/>
  <c r="H36" i="14" l="1"/>
  <c r="C47" i="33" s="1"/>
  <c r="E22" i="15"/>
  <c r="C36" i="14"/>
  <c r="C46" i="33"/>
  <c r="D36" i="14"/>
  <c r="F36" i="14"/>
  <c r="G36" i="14"/>
  <c r="B26" i="15"/>
  <c r="B27" i="15" s="1"/>
  <c r="H37" i="14" s="1"/>
  <c r="C5" i="119"/>
  <c r="E199" i="119" s="1"/>
  <c r="E36" i="14"/>
  <c r="AF116" i="15"/>
  <c r="AB55" i="15" s="1"/>
  <c r="AB57" i="15" s="1"/>
  <c r="W116" i="15"/>
  <c r="F133" i="15"/>
  <c r="F37" i="34" s="1"/>
  <c r="F78" i="6"/>
  <c r="F83" i="6" s="1"/>
  <c r="C147" i="6" s="1"/>
  <c r="B133" i="15"/>
  <c r="F32" i="34" s="1"/>
  <c r="C32" i="34" s="1"/>
  <c r="F75" i="6"/>
  <c r="F82" i="6" s="1"/>
  <c r="C146" i="6" s="1"/>
  <c r="F38" i="34"/>
  <c r="G136" i="15"/>
  <c r="C197" i="119"/>
  <c r="C202" i="119" s="1"/>
  <c r="D202" i="119" s="1"/>
  <c r="D156" i="6"/>
  <c r="D155" i="6"/>
  <c r="D157" i="6"/>
  <c r="E22" i="24"/>
  <c r="G22" i="24" s="1"/>
  <c r="E14" i="24"/>
  <c r="G14" i="24" s="1"/>
  <c r="D152" i="6"/>
  <c r="E152" i="6" s="1"/>
  <c r="D122" i="6"/>
  <c r="E122" i="6" s="1"/>
  <c r="E25" i="24"/>
  <c r="G25" i="24" s="1"/>
  <c r="E23" i="24"/>
  <c r="G23" i="24" s="1"/>
  <c r="E19" i="24"/>
  <c r="G19" i="24" s="1"/>
  <c r="E18" i="24"/>
  <c r="G18" i="24" s="1"/>
  <c r="E20" i="24"/>
  <c r="G20" i="24" s="1"/>
  <c r="E21" i="24"/>
  <c r="G21" i="24" s="1"/>
  <c r="E26" i="24"/>
  <c r="G26" i="24" s="1"/>
  <c r="E16" i="24"/>
  <c r="G16" i="24" s="1"/>
  <c r="E24" i="24"/>
  <c r="G24" i="24" s="1"/>
  <c r="E17" i="24"/>
  <c r="G17" i="24" s="1"/>
  <c r="D150" i="6"/>
  <c r="E150" i="6" s="1"/>
  <c r="E15" i="24"/>
  <c r="G15" i="24" s="1"/>
  <c r="D153" i="6"/>
  <c r="E153" i="6" s="1"/>
  <c r="D151" i="6"/>
  <c r="E151" i="6" s="1"/>
  <c r="D111" i="6"/>
  <c r="E111" i="6" s="1"/>
  <c r="E113" i="6" s="1"/>
  <c r="E13" i="24"/>
  <c r="H206" i="15"/>
  <c r="L199" i="15"/>
  <c r="AE106" i="15"/>
  <c r="E205" i="15"/>
  <c r="G204" i="15"/>
  <c r="L219" i="15"/>
  <c r="M189" i="15"/>
  <c r="G190" i="15"/>
  <c r="C216" i="15"/>
  <c r="N209" i="15"/>
  <c r="H196" i="15"/>
  <c r="C227" i="15"/>
  <c r="L202" i="15"/>
  <c r="G222" i="15"/>
  <c r="C193" i="15"/>
  <c r="H222" i="15"/>
  <c r="I227" i="15"/>
  <c r="AE80" i="15"/>
  <c r="E213" i="15"/>
  <c r="C223" i="15"/>
  <c r="N191" i="15"/>
  <c r="D194" i="15"/>
  <c r="E222" i="15"/>
  <c r="I191" i="15"/>
  <c r="N225" i="15"/>
  <c r="I223" i="15"/>
  <c r="C203" i="15"/>
  <c r="N204" i="15"/>
  <c r="AE79" i="15"/>
  <c r="E189" i="15"/>
  <c r="G216" i="15"/>
  <c r="D217" i="15"/>
  <c r="D204" i="15"/>
  <c r="C224" i="15"/>
  <c r="E223" i="15"/>
  <c r="D200" i="15"/>
  <c r="E217" i="15"/>
  <c r="M223" i="15"/>
  <c r="H226" i="15"/>
  <c r="G226" i="15"/>
  <c r="C217" i="15"/>
  <c r="I192" i="15"/>
  <c r="G227" i="15"/>
  <c r="D215" i="15"/>
  <c r="I214" i="15"/>
  <c r="L224" i="15"/>
  <c r="G225" i="15"/>
  <c r="AE69" i="15"/>
  <c r="AE94" i="15"/>
  <c r="N205" i="15"/>
  <c r="H225" i="15"/>
  <c r="D224" i="15"/>
  <c r="D209" i="15"/>
  <c r="AE88" i="15"/>
  <c r="E208" i="15"/>
  <c r="C225" i="15"/>
  <c r="M212" i="15"/>
  <c r="L217" i="15"/>
  <c r="D216" i="15"/>
  <c r="L227" i="15"/>
  <c r="N210" i="15"/>
  <c r="D212" i="15"/>
  <c r="G220" i="15"/>
  <c r="N222" i="15"/>
  <c r="M209" i="15"/>
  <c r="M217" i="15"/>
  <c r="L204" i="15"/>
  <c r="C190" i="15"/>
  <c r="G197" i="15"/>
  <c r="G200" i="15"/>
  <c r="AE105" i="15"/>
  <c r="H195" i="15"/>
  <c r="M219" i="15"/>
  <c r="M210" i="15"/>
  <c r="AE96" i="15"/>
  <c r="M197" i="15"/>
  <c r="M222" i="15"/>
  <c r="N203" i="15"/>
  <c r="E191" i="15"/>
  <c r="I208" i="15"/>
  <c r="D202" i="15"/>
  <c r="L226" i="15"/>
  <c r="C201" i="15"/>
  <c r="I220" i="15"/>
  <c r="C211" i="15"/>
  <c r="D205" i="15"/>
  <c r="M193" i="15"/>
  <c r="G214" i="15"/>
  <c r="I199" i="15"/>
  <c r="M215" i="15"/>
  <c r="L208" i="15"/>
  <c r="AE90" i="15"/>
  <c r="N223" i="15"/>
  <c r="D213" i="15"/>
  <c r="M221" i="15"/>
  <c r="L193" i="15"/>
  <c r="N226" i="15"/>
  <c r="M195" i="15"/>
  <c r="N211" i="15"/>
  <c r="H221" i="15"/>
  <c r="N216" i="15"/>
  <c r="I211" i="15"/>
  <c r="C202" i="15"/>
  <c r="H190" i="15"/>
  <c r="L201" i="15"/>
  <c r="I198" i="15"/>
  <c r="G210" i="15"/>
  <c r="C205" i="15"/>
  <c r="E196" i="15"/>
  <c r="L222" i="15"/>
  <c r="H220" i="15"/>
  <c r="C194" i="15"/>
  <c r="AE85" i="15"/>
  <c r="E193" i="15"/>
  <c r="I205" i="15"/>
  <c r="E219" i="15"/>
  <c r="H213" i="15"/>
  <c r="E203" i="15"/>
  <c r="AE81" i="15"/>
  <c r="C208" i="15"/>
  <c r="I212" i="15"/>
  <c r="I201" i="15"/>
  <c r="H200" i="15"/>
  <c r="I222" i="15"/>
  <c r="G198" i="15"/>
  <c r="I221" i="15"/>
  <c r="L216" i="15"/>
  <c r="N198" i="15"/>
  <c r="C189" i="15"/>
  <c r="H216" i="15"/>
  <c r="AE75" i="15"/>
  <c r="AE95" i="15"/>
  <c r="I200" i="15"/>
  <c r="I217" i="15"/>
  <c r="C212" i="15"/>
  <c r="N220" i="15"/>
  <c r="C209" i="15"/>
  <c r="I218" i="15"/>
  <c r="N200" i="15"/>
  <c r="L194" i="15"/>
  <c r="N196" i="15"/>
  <c r="M214" i="15"/>
  <c r="I207" i="15"/>
  <c r="I228" i="15"/>
  <c r="D218" i="15"/>
  <c r="N221" i="15"/>
  <c r="E212" i="15"/>
  <c r="L214" i="15"/>
  <c r="D196" i="15"/>
  <c r="M216" i="15"/>
  <c r="G189" i="15"/>
  <c r="G223" i="15"/>
  <c r="AE74" i="15"/>
  <c r="D223" i="15"/>
  <c r="L211" i="15"/>
  <c r="L198" i="15"/>
  <c r="E218" i="15"/>
  <c r="E214" i="15"/>
  <c r="E192" i="15"/>
  <c r="L203" i="15"/>
  <c r="I213" i="15"/>
  <c r="E200" i="15"/>
  <c r="D220" i="15"/>
  <c r="H207" i="15"/>
  <c r="D225" i="15"/>
  <c r="AE83" i="15"/>
  <c r="D197" i="15"/>
  <c r="G192" i="15"/>
  <c r="N197" i="15"/>
  <c r="AE84" i="15"/>
  <c r="N215" i="15"/>
  <c r="D201" i="15"/>
  <c r="E227" i="15"/>
  <c r="AE102" i="15"/>
  <c r="D208" i="15"/>
  <c r="L191" i="15"/>
  <c r="AE73" i="15"/>
  <c r="C222" i="15"/>
  <c r="I193" i="15"/>
  <c r="AE70" i="15"/>
  <c r="G209" i="15"/>
  <c r="C197" i="15"/>
  <c r="D199" i="15"/>
  <c r="G205" i="15"/>
  <c r="L195" i="15"/>
  <c r="M227" i="15"/>
  <c r="G195" i="15"/>
  <c r="G228" i="15"/>
  <c r="C219" i="15"/>
  <c r="H203" i="15"/>
  <c r="H208" i="15"/>
  <c r="C192" i="15"/>
  <c r="G224" i="15"/>
  <c r="G208" i="15"/>
  <c r="C221" i="15"/>
  <c r="N207" i="15"/>
  <c r="G193" i="15"/>
  <c r="L197" i="15"/>
  <c r="H191" i="15"/>
  <c r="AE89" i="15"/>
  <c r="H210" i="15"/>
  <c r="L196" i="15"/>
  <c r="H197" i="15"/>
  <c r="E228" i="15"/>
  <c r="D207" i="15"/>
  <c r="H198" i="15"/>
  <c r="D206" i="15"/>
  <c r="L209" i="15"/>
  <c r="M199" i="15"/>
  <c r="E224" i="15"/>
  <c r="M207" i="15"/>
  <c r="E202" i="15"/>
  <c r="M228" i="15"/>
  <c r="H194" i="15"/>
  <c r="E204" i="15"/>
  <c r="G211" i="15"/>
  <c r="H212" i="15"/>
  <c r="E211" i="15"/>
  <c r="AE93" i="15"/>
  <c r="I226" i="15"/>
  <c r="C218" i="15"/>
  <c r="D192" i="15"/>
  <c r="D211" i="15"/>
  <c r="AE78" i="15"/>
  <c r="C213" i="15"/>
  <c r="AE71" i="15"/>
  <c r="AE92" i="15"/>
  <c r="M224" i="15"/>
  <c r="N212" i="15"/>
  <c r="N213" i="15"/>
  <c r="N214" i="15"/>
  <c r="D219" i="15"/>
  <c r="M196" i="15"/>
  <c r="D203" i="15"/>
  <c r="N192" i="15"/>
  <c r="H211" i="15"/>
  <c r="M191" i="15"/>
  <c r="H217" i="15"/>
  <c r="E201" i="15"/>
  <c r="L228" i="15"/>
  <c r="C207" i="15"/>
  <c r="G221" i="15"/>
  <c r="L210" i="15"/>
  <c r="M201" i="15"/>
  <c r="E199" i="15"/>
  <c r="N224" i="15"/>
  <c r="D195" i="15"/>
  <c r="AE76" i="15"/>
  <c r="L221" i="15"/>
  <c r="I203" i="15"/>
  <c r="I189" i="15"/>
  <c r="H228" i="15"/>
  <c r="M220" i="15"/>
  <c r="H224" i="15"/>
  <c r="L189" i="15"/>
  <c r="G213" i="15"/>
  <c r="I190" i="15"/>
  <c r="E209" i="15"/>
  <c r="G207" i="15"/>
  <c r="L190" i="15"/>
  <c r="E216" i="15"/>
  <c r="G203" i="15"/>
  <c r="D227" i="15"/>
  <c r="D226" i="15"/>
  <c r="AE86" i="15"/>
  <c r="I219" i="15"/>
  <c r="AE107" i="15"/>
  <c r="N189" i="15"/>
  <c r="E225" i="15"/>
  <c r="C228" i="15"/>
  <c r="I206" i="15"/>
  <c r="D228" i="15"/>
  <c r="G202" i="15"/>
  <c r="M194" i="15"/>
  <c r="E198" i="15"/>
  <c r="H214" i="15"/>
  <c r="H189" i="15"/>
  <c r="G201" i="15"/>
  <c r="C220" i="15"/>
  <c r="AE99" i="15"/>
  <c r="AE97" i="15"/>
  <c r="G217" i="15"/>
  <c r="L218" i="15"/>
  <c r="N194" i="15"/>
  <c r="I195" i="15"/>
  <c r="L223" i="15"/>
  <c r="D191" i="15"/>
  <c r="E210" i="15"/>
  <c r="I197" i="15"/>
  <c r="H192" i="15"/>
  <c r="N190" i="15"/>
  <c r="M208" i="15"/>
  <c r="D190" i="15"/>
  <c r="H219" i="15"/>
  <c r="G206" i="15"/>
  <c r="M204" i="15"/>
  <c r="M200" i="15"/>
  <c r="AE104" i="15"/>
  <c r="L205" i="15"/>
  <c r="N201" i="15"/>
  <c r="M226" i="15"/>
  <c r="E207" i="15"/>
  <c r="M192" i="15"/>
  <c r="N228" i="15"/>
  <c r="M202" i="15"/>
  <c r="D193" i="15"/>
  <c r="H205" i="15"/>
  <c r="C204" i="15"/>
  <c r="C191" i="15"/>
  <c r="H209" i="15"/>
  <c r="E206" i="15"/>
  <c r="C196" i="15"/>
  <c r="G212" i="15"/>
  <c r="N227" i="15"/>
  <c r="I210" i="15"/>
  <c r="M203" i="15"/>
  <c r="L206" i="15"/>
  <c r="I196" i="15"/>
  <c r="D221" i="15"/>
  <c r="N202" i="15"/>
  <c r="AE77" i="15"/>
  <c r="L212" i="15"/>
  <c r="AE72" i="15"/>
  <c r="C226" i="15"/>
  <c r="G196" i="15"/>
  <c r="E195" i="15"/>
  <c r="C214" i="15"/>
  <c r="E190" i="15"/>
  <c r="D198" i="15"/>
  <c r="D189" i="15"/>
  <c r="M205" i="15"/>
  <c r="E194" i="15"/>
  <c r="AE91" i="15"/>
  <c r="M213" i="15"/>
  <c r="H193" i="15"/>
  <c r="N195" i="15"/>
  <c r="H215" i="15"/>
  <c r="I215" i="15"/>
  <c r="C215" i="15"/>
  <c r="C200" i="15"/>
  <c r="L207" i="15"/>
  <c r="AE100" i="15"/>
  <c r="E226" i="15"/>
  <c r="L213" i="15"/>
  <c r="H202" i="15"/>
  <c r="L225" i="15"/>
  <c r="N208" i="15"/>
  <c r="E215" i="15"/>
  <c r="C210" i="15"/>
  <c r="D214" i="15"/>
  <c r="I216" i="15"/>
  <c r="C198" i="15"/>
  <c r="G218" i="15"/>
  <c r="D222" i="15"/>
  <c r="I204" i="15"/>
  <c r="D210" i="15"/>
  <c r="H199" i="15"/>
  <c r="AE68" i="15"/>
  <c r="I202" i="15"/>
  <c r="C206" i="15"/>
  <c r="I209" i="15"/>
  <c r="H204" i="15"/>
  <c r="M206" i="15"/>
  <c r="N219" i="15"/>
  <c r="E220" i="15"/>
  <c r="L200" i="15"/>
  <c r="AE103" i="15"/>
  <c r="C195" i="15"/>
  <c r="N217" i="15"/>
  <c r="H227" i="15"/>
  <c r="I224" i="15"/>
  <c r="N206" i="15"/>
  <c r="M225" i="15"/>
  <c r="AE101" i="15"/>
  <c r="G191" i="15"/>
  <c r="H201" i="15"/>
  <c r="L220" i="15"/>
  <c r="N193" i="15"/>
  <c r="M218" i="15"/>
  <c r="I225" i="15"/>
  <c r="L192" i="15"/>
  <c r="AE82" i="15"/>
  <c r="M190" i="15"/>
  <c r="C199" i="15"/>
  <c r="E197" i="15"/>
  <c r="G215" i="15"/>
  <c r="M211" i="15"/>
  <c r="H223" i="15"/>
  <c r="I194" i="15"/>
  <c r="H218" i="15"/>
  <c r="AE98" i="15"/>
  <c r="N199" i="15"/>
  <c r="G219" i="15"/>
  <c r="M198" i="15"/>
  <c r="AE87" i="15"/>
  <c r="G194" i="15"/>
  <c r="L215" i="15"/>
  <c r="E221" i="15"/>
  <c r="N218" i="15"/>
  <c r="G199" i="15"/>
  <c r="B17" i="15"/>
  <c r="C81" i="119"/>
  <c r="D81" i="119" s="1"/>
  <c r="I4" i="119"/>
  <c r="C82" i="119" s="1"/>
  <c r="D82" i="119" s="1"/>
  <c r="H4" i="119"/>
  <c r="C78" i="119"/>
  <c r="D78" i="119" s="1"/>
  <c r="H3" i="119"/>
  <c r="I3" i="119"/>
  <c r="C79" i="119" s="1"/>
  <c r="D79" i="119" s="1"/>
  <c r="F173" i="15"/>
  <c r="F178" i="15"/>
  <c r="F168" i="15"/>
  <c r="F161" i="15"/>
  <c r="F143" i="15"/>
  <c r="F149" i="15"/>
  <c r="F176" i="15"/>
  <c r="F157" i="15"/>
  <c r="F158" i="15"/>
  <c r="F179" i="15"/>
  <c r="F156" i="15"/>
  <c r="F160" i="15"/>
  <c r="F147" i="15"/>
  <c r="F170" i="15"/>
  <c r="F174" i="15"/>
  <c r="B140" i="15"/>
  <c r="B166" i="15"/>
  <c r="B154" i="15"/>
  <c r="F164" i="15"/>
  <c r="F140" i="15"/>
  <c r="F181" i="15"/>
  <c r="B162" i="15"/>
  <c r="F150" i="15"/>
  <c r="B160" i="15"/>
  <c r="B157" i="15"/>
  <c r="F166" i="15"/>
  <c r="F175" i="15"/>
  <c r="F180" i="15"/>
  <c r="F154" i="15"/>
  <c r="F169" i="15"/>
  <c r="F155" i="15"/>
  <c r="F141" i="15"/>
  <c r="F145" i="15"/>
  <c r="F153" i="15"/>
  <c r="B164" i="15"/>
  <c r="F159" i="15"/>
  <c r="F142" i="15"/>
  <c r="F144" i="15"/>
  <c r="F171" i="15"/>
  <c r="F172" i="15"/>
  <c r="F148" i="15"/>
  <c r="F139" i="15"/>
  <c r="F146" i="15"/>
  <c r="F165" i="15"/>
  <c r="F162" i="15"/>
  <c r="F163" i="15"/>
  <c r="F167" i="15"/>
  <c r="F177" i="15"/>
  <c r="F152" i="15"/>
  <c r="B169" i="15"/>
  <c r="B143" i="15"/>
  <c r="F151" i="15"/>
  <c r="B147" i="15"/>
  <c r="E24" i="15" l="1"/>
  <c r="C48" i="33"/>
  <c r="E23" i="15"/>
  <c r="E25" i="15" s="1"/>
  <c r="C37" i="14"/>
  <c r="G37" i="14"/>
  <c r="E37" i="14"/>
  <c r="D37" i="14"/>
  <c r="F37" i="14"/>
  <c r="W115" i="15"/>
  <c r="H5" i="119"/>
  <c r="C83" i="119" s="1"/>
  <c r="D83" i="119" s="1"/>
  <c r="I5" i="119"/>
  <c r="C85" i="119" s="1"/>
  <c r="D85" i="119" s="1"/>
  <c r="C84" i="119"/>
  <c r="D84" i="119" s="1"/>
  <c r="B136" i="15"/>
  <c r="F227" i="15"/>
  <c r="F209" i="15"/>
  <c r="F212" i="15"/>
  <c r="F220" i="15"/>
  <c r="F205" i="15"/>
  <c r="F214" i="15"/>
  <c r="F202" i="15"/>
  <c r="F197" i="15"/>
  <c r="F221" i="15"/>
  <c r="F199" i="15"/>
  <c r="F193" i="15"/>
  <c r="F190" i="15"/>
  <c r="F194" i="15"/>
  <c r="F195" i="15"/>
  <c r="F225" i="15"/>
  <c r="F216" i="15"/>
  <c r="F218" i="15"/>
  <c r="F200" i="15"/>
  <c r="F189" i="15"/>
  <c r="F215" i="15"/>
  <c r="F222" i="15"/>
  <c r="F192" i="15"/>
  <c r="F198" i="15"/>
  <c r="F211" i="15"/>
  <c r="F219" i="15"/>
  <c r="F136" i="15"/>
  <c r="O86" i="15"/>
  <c r="B207" i="15"/>
  <c r="O83" i="15"/>
  <c r="B204" i="15"/>
  <c r="O90" i="15"/>
  <c r="B211" i="15"/>
  <c r="O92" i="15"/>
  <c r="B213" i="15"/>
  <c r="O88" i="15"/>
  <c r="B209" i="15"/>
  <c r="B194" i="15"/>
  <c r="O73" i="15"/>
  <c r="O80" i="15"/>
  <c r="B201" i="15"/>
  <c r="B216" i="15"/>
  <c r="O95" i="15"/>
  <c r="O69" i="15"/>
  <c r="B190" i="15"/>
  <c r="F223" i="15"/>
  <c r="F226" i="15"/>
  <c r="F206" i="15"/>
  <c r="F207" i="15"/>
  <c r="F196" i="15"/>
  <c r="F213" i="15"/>
  <c r="F210" i="15"/>
  <c r="F208" i="15"/>
  <c r="F224" i="15"/>
  <c r="F191" i="15"/>
  <c r="F228" i="15"/>
  <c r="F204" i="15"/>
  <c r="F203" i="15"/>
  <c r="F201" i="15"/>
  <c r="F217" i="15"/>
  <c r="E100" i="34"/>
  <c r="C100" i="34"/>
  <c r="C37" i="34"/>
  <c r="D100" i="34"/>
  <c r="C38" i="34"/>
  <c r="E101" i="34"/>
  <c r="D101" i="34"/>
  <c r="C101" i="34"/>
  <c r="C95" i="34"/>
  <c r="D85" i="34" s="1"/>
  <c r="E95" i="34"/>
  <c r="F85" i="34" s="1"/>
  <c r="F86" i="34" s="1"/>
  <c r="D95" i="34"/>
  <c r="B203" i="119"/>
  <c r="H231" i="15"/>
  <c r="E231" i="15"/>
  <c r="E27" i="24"/>
  <c r="G13" i="24"/>
  <c r="G27" i="24" s="1"/>
  <c r="AE116" i="15"/>
  <c r="L231" i="15"/>
  <c r="E115" i="6"/>
  <c r="L101" i="119"/>
  <c r="C77" i="119"/>
  <c r="D77" i="119" s="1"/>
  <c r="N231" i="15"/>
  <c r="C231" i="15"/>
  <c r="B57" i="15"/>
  <c r="D61" i="34"/>
  <c r="C61" i="34"/>
  <c r="D32" i="34"/>
  <c r="E61" i="34"/>
  <c r="C53" i="34"/>
  <c r="E110" i="34"/>
  <c r="D110" i="34"/>
  <c r="C110" i="34"/>
  <c r="D231" i="15"/>
  <c r="G231" i="15"/>
  <c r="M231" i="15"/>
  <c r="B18" i="15"/>
  <c r="B19" i="15"/>
  <c r="L102" i="119"/>
  <c r="C80" i="119"/>
  <c r="D80" i="119" s="1"/>
  <c r="I231" i="15"/>
  <c r="B141" i="15"/>
  <c r="B179" i="15"/>
  <c r="B142" i="15"/>
  <c r="B158" i="15"/>
  <c r="B144" i="15"/>
  <c r="B156" i="15"/>
  <c r="B168" i="15"/>
  <c r="B145" i="15"/>
  <c r="B172" i="15"/>
  <c r="B165" i="15"/>
  <c r="B150" i="15"/>
  <c r="B176" i="15"/>
  <c r="B139" i="15"/>
  <c r="B175" i="15"/>
  <c r="B146" i="15"/>
  <c r="B173" i="15"/>
  <c r="B159" i="15"/>
  <c r="B155" i="15"/>
  <c r="B178" i="15"/>
  <c r="B151" i="15"/>
  <c r="B149" i="15"/>
  <c r="B161" i="15"/>
  <c r="B153" i="15"/>
  <c r="B171" i="15"/>
  <c r="B152" i="15"/>
  <c r="B180" i="15"/>
  <c r="B181" i="15"/>
  <c r="B163" i="15"/>
  <c r="B174" i="15"/>
  <c r="B148" i="15"/>
  <c r="B170" i="15"/>
  <c r="B167" i="15"/>
  <c r="B177" i="15"/>
  <c r="O103" i="15" l="1"/>
  <c r="B224" i="15"/>
  <c r="O93" i="15"/>
  <c r="B214" i="15"/>
  <c r="B217" i="15"/>
  <c r="O96" i="15"/>
  <c r="O74" i="15"/>
  <c r="B195" i="15"/>
  <c r="B221" i="15"/>
  <c r="O100" i="15"/>
  <c r="B210" i="15"/>
  <c r="O89" i="15"/>
  <c r="B228" i="15"/>
  <c r="O107" i="15"/>
  <c r="B227" i="15"/>
  <c r="O106" i="15"/>
  <c r="O78" i="15"/>
  <c r="B199" i="15"/>
  <c r="O97" i="15"/>
  <c r="B218" i="15"/>
  <c r="B200" i="15"/>
  <c r="O79" i="15"/>
  <c r="B208" i="15"/>
  <c r="O87" i="15"/>
  <c r="B196" i="15"/>
  <c r="O75" i="15"/>
  <c r="B198" i="15"/>
  <c r="O77" i="15"/>
  <c r="B225" i="15"/>
  <c r="O104" i="15"/>
  <c r="B202" i="15"/>
  <c r="O81" i="15"/>
  <c r="O85" i="15"/>
  <c r="B206" i="15"/>
  <c r="B220" i="15"/>
  <c r="O99" i="15"/>
  <c r="O72" i="15"/>
  <c r="B193" i="15"/>
  <c r="O101" i="15"/>
  <c r="B222" i="15"/>
  <c r="B223" i="15"/>
  <c r="O102" i="15"/>
  <c r="B197" i="15"/>
  <c r="O76" i="15"/>
  <c r="O91" i="15"/>
  <c r="B212" i="15"/>
  <c r="O98" i="15"/>
  <c r="B219" i="15"/>
  <c r="O71" i="15"/>
  <c r="B192" i="15"/>
  <c r="O94" i="15"/>
  <c r="B215" i="15"/>
  <c r="B203" i="15"/>
  <c r="O82" i="15"/>
  <c r="O70" i="15"/>
  <c r="B191" i="15"/>
  <c r="B205" i="15"/>
  <c r="O84" i="15"/>
  <c r="O68" i="15"/>
  <c r="O115" i="15" s="1"/>
  <c r="B122" i="15" s="1"/>
  <c r="B189" i="15"/>
  <c r="B226" i="15"/>
  <c r="O105" i="15"/>
  <c r="L103" i="119"/>
  <c r="F231" i="15"/>
  <c r="F232" i="15" s="1"/>
  <c r="F233" i="15" s="1"/>
  <c r="I37" i="34" s="1"/>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I232" i="15"/>
  <c r="M232" i="15"/>
  <c r="G232" i="15"/>
  <c r="G233" i="15" s="1"/>
  <c r="I38" i="34" s="1"/>
  <c r="D232" i="15"/>
  <c r="E232" i="15"/>
  <c r="H232" i="15"/>
  <c r="L232" i="15"/>
  <c r="C232" i="15"/>
  <c r="N232" i="15"/>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AC55" i="15"/>
  <c r="AC57" i="15" s="1"/>
  <c r="C5" i="24"/>
  <c r="C88" i="6"/>
  <c r="O114" i="15" l="1"/>
  <c r="B231" i="15"/>
  <c r="B232" i="15" s="1"/>
  <c r="B233" i="15" s="1"/>
  <c r="I32" i="34" s="1"/>
  <c r="O116" i="15"/>
  <c r="O117" i="15" s="1"/>
  <c r="T48" i="119" s="1"/>
  <c r="E165" i="119" s="1"/>
  <c r="F116" i="34"/>
  <c r="F115" i="34"/>
  <c r="B204" i="119"/>
  <c r="C204" i="119" s="1"/>
  <c r="B205" i="119" s="1"/>
  <c r="J36" i="33"/>
  <c r="C21" i="33"/>
  <c r="C23" i="33"/>
  <c r="D119" i="6"/>
  <c r="E119" i="6" s="1"/>
  <c r="D120" i="6"/>
  <c r="D121" i="6"/>
  <c r="E121" i="6" s="1"/>
  <c r="D123" i="6"/>
  <c r="E123" i="6" s="1"/>
  <c r="D116" i="6"/>
  <c r="E116" i="6" s="1"/>
  <c r="D103" i="6"/>
  <c r="E103" i="6" s="1"/>
  <c r="E104" i="6" s="1"/>
  <c r="E106" i="6" s="1"/>
  <c r="B52" i="15" s="1"/>
  <c r="K65" i="15" s="1"/>
  <c r="P114" i="15"/>
  <c r="P116" i="15"/>
  <c r="P117" i="15" s="1"/>
  <c r="U48" i="119" s="1"/>
  <c r="E166" i="119" s="1"/>
  <c r="P115" i="15"/>
  <c r="B123" i="15" s="1"/>
  <c r="C38" i="33"/>
  <c r="D204" i="119" l="1"/>
  <c r="C205" i="119"/>
  <c r="D205" i="119" s="1"/>
  <c r="C53" i="33"/>
  <c r="C55" i="33" s="1"/>
  <c r="E120" i="6"/>
  <c r="C68" i="33"/>
  <c r="C26" i="33" s="1"/>
  <c r="C24" i="33"/>
  <c r="K114" i="15"/>
  <c r="K116" i="15"/>
  <c r="K117" i="15" s="1"/>
  <c r="Q48" i="119" s="1"/>
  <c r="E162" i="119" s="1"/>
  <c r="K115" i="15"/>
  <c r="J133" i="15" l="1"/>
  <c r="F42" i="34" s="1"/>
  <c r="B206" i="119"/>
  <c r="C54" i="33"/>
  <c r="C107" i="33"/>
  <c r="C99" i="33"/>
  <c r="C95" i="33"/>
  <c r="C83" i="33"/>
  <c r="C106" i="33"/>
  <c r="C82" i="33"/>
  <c r="C94" i="33"/>
  <c r="C98" i="33"/>
  <c r="C56" i="33"/>
  <c r="C57" i="33"/>
  <c r="C75" i="33"/>
  <c r="C70" i="33"/>
  <c r="C71" i="33" s="1"/>
  <c r="C74" i="33"/>
  <c r="J31" i="33" s="1"/>
  <c r="J34" i="33" s="1"/>
  <c r="J131" i="15" l="1"/>
  <c r="J185" i="15" s="1"/>
  <c r="D87" i="34"/>
  <c r="D88" i="34" s="1"/>
  <c r="F47" i="34"/>
  <c r="C47"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E18" i="17" s="1"/>
  <c r="F18" i="17" s="1"/>
  <c r="C58" i="33"/>
  <c r="J40" i="33"/>
  <c r="J22" i="33"/>
  <c r="G21" i="34"/>
  <c r="K45" i="33"/>
  <c r="J25" i="33"/>
  <c r="C78" i="33"/>
  <c r="J38" i="33" s="1"/>
  <c r="J23" i="33"/>
  <c r="C86" i="33"/>
  <c r="J39" i="33" s="1"/>
  <c r="J24" i="33"/>
  <c r="J27" i="33" l="1"/>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G20" i="34"/>
  <c r="H21" i="34"/>
  <c r="J26" i="33"/>
  <c r="J148" i="15"/>
  <c r="J172" i="15"/>
  <c r="J178" i="15"/>
  <c r="J154" i="15"/>
  <c r="J150" i="15"/>
  <c r="J141" i="15"/>
  <c r="J174" i="15"/>
  <c r="J173" i="15"/>
  <c r="J177" i="15"/>
  <c r="J143" i="15"/>
  <c r="J162" i="15"/>
  <c r="J169" i="15"/>
  <c r="J155" i="15"/>
  <c r="J165" i="15"/>
  <c r="J175" i="15"/>
  <c r="J164" i="15"/>
  <c r="J140" i="15"/>
  <c r="J170" i="15"/>
  <c r="J160" i="15"/>
  <c r="J158" i="15"/>
  <c r="J176" i="15"/>
  <c r="J161" i="15"/>
  <c r="J171" i="15"/>
  <c r="J168" i="15"/>
  <c r="J139" i="15"/>
  <c r="J144" i="15"/>
  <c r="J181" i="15"/>
  <c r="J157" i="15"/>
  <c r="J153" i="15"/>
  <c r="J179" i="15"/>
  <c r="J142" i="15"/>
  <c r="J146" i="15"/>
  <c r="J167" i="15"/>
  <c r="J145" i="15"/>
  <c r="J166" i="15"/>
  <c r="J151" i="15"/>
  <c r="J159" i="15"/>
  <c r="J180" i="15"/>
  <c r="E42" i="34" l="1"/>
  <c r="C42" i="34" s="1"/>
  <c r="C55" i="34" s="1"/>
  <c r="D52" i="34" s="1"/>
  <c r="B71" i="34"/>
  <c r="B120" i="34"/>
  <c r="B105" i="34"/>
  <c r="G42" i="34"/>
  <c r="J197" i="15"/>
  <c r="Q116" i="15"/>
  <c r="Q118" i="15" s="1"/>
  <c r="L48" i="119" s="1"/>
  <c r="E156" i="119" s="1"/>
  <c r="Q115" i="15"/>
  <c r="B124" i="15" s="1"/>
  <c r="Q114" i="15"/>
  <c r="K231" i="15"/>
  <c r="K232" i="15" s="1"/>
  <c r="K233" i="15" s="1"/>
  <c r="I47" i="34" s="1"/>
  <c r="J225" i="15"/>
  <c r="J205" i="15"/>
  <c r="J227" i="15"/>
  <c r="J215" i="15"/>
  <c r="J189" i="15"/>
  <c r="J223" i="15"/>
  <c r="J209" i="15"/>
  <c r="J206" i="15"/>
  <c r="J208" i="15"/>
  <c r="J218" i="15"/>
  <c r="J226" i="15"/>
  <c r="J216" i="15"/>
  <c r="J195" i="15"/>
  <c r="J201" i="15"/>
  <c r="J202" i="15"/>
  <c r="J217" i="15"/>
  <c r="J211" i="15"/>
  <c r="J190" i="15"/>
  <c r="J198" i="15"/>
  <c r="J193" i="15"/>
  <c r="J207" i="15"/>
  <c r="J212" i="15"/>
  <c r="J214" i="15"/>
  <c r="J191" i="15"/>
  <c r="J219" i="15"/>
  <c r="J192" i="15"/>
  <c r="J220" i="15"/>
  <c r="J213" i="15"/>
  <c r="J222" i="15"/>
  <c r="J224" i="15"/>
  <c r="J204" i="15"/>
  <c r="J228" i="15"/>
  <c r="J221" i="15"/>
  <c r="J200" i="15"/>
  <c r="C207" i="119"/>
  <c r="D207" i="119" s="1"/>
  <c r="E158" i="6"/>
  <c r="B58" i="15" s="1"/>
  <c r="C89" i="6"/>
  <c r="J43" i="33"/>
  <c r="K46" i="33" s="1"/>
  <c r="G19" i="34"/>
  <c r="G22" i="34" s="1"/>
  <c r="K47" i="33"/>
  <c r="H19" i="34" s="1"/>
  <c r="J152" i="15"/>
  <c r="J147" i="15"/>
  <c r="J156" i="15"/>
  <c r="J163" i="15"/>
  <c r="J149" i="15"/>
  <c r="C98" i="6" l="1"/>
  <c r="E98" i="6" s="1"/>
  <c r="C92" i="6"/>
  <c r="E92" i="6" s="1"/>
  <c r="C95" i="6"/>
  <c r="E95" i="6" s="1"/>
  <c r="J196" i="15"/>
  <c r="J210" i="15"/>
  <c r="J194" i="15"/>
  <c r="J203" i="15"/>
  <c r="J199" i="15"/>
  <c r="E105" i="34"/>
  <c r="F83" i="34" s="1"/>
  <c r="F89" i="34" s="1"/>
  <c r="C105" i="34"/>
  <c r="D83" i="34" s="1"/>
  <c r="D84" i="34" s="1"/>
  <c r="E160" i="6" s="1"/>
  <c r="D105" i="34"/>
  <c r="E83" i="34" s="1"/>
  <c r="E84" i="34" s="1"/>
  <c r="B208" i="119"/>
  <c r="C120" i="34"/>
  <c r="C121" i="34" s="1"/>
  <c r="D77" i="34" s="1"/>
  <c r="D120" i="34"/>
  <c r="D121" i="34" s="1"/>
  <c r="E77" i="34" s="1"/>
  <c r="E120" i="34"/>
  <c r="E121" i="34" s="1"/>
  <c r="F77" i="34" s="1"/>
  <c r="C71" i="34"/>
  <c r="E71" i="34"/>
  <c r="D71" i="34"/>
  <c r="D42"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C93" i="6"/>
  <c r="E93" i="6" s="1"/>
  <c r="J231" i="15" l="1"/>
  <c r="J232" i="15" s="1"/>
  <c r="J233" i="15" s="1"/>
  <c r="D89" i="34"/>
  <c r="D78" i="34" s="1"/>
  <c r="D80" i="34" s="1"/>
  <c r="F84" i="34"/>
  <c r="E89" i="34"/>
  <c r="E90" i="34" s="1"/>
  <c r="F105" i="34"/>
  <c r="G83" i="34" s="1"/>
  <c r="G84" i="34" s="1"/>
  <c r="C208" i="119"/>
  <c r="D208" i="119" s="1"/>
  <c r="F120" i="34"/>
  <c r="F121" i="34" s="1"/>
  <c r="G77" i="34" s="1"/>
  <c r="E162" i="6" s="1"/>
  <c r="E163" i="6" s="1"/>
  <c r="E99" i="6"/>
  <c r="G26" i="17" s="1"/>
  <c r="H26" i="17" s="1"/>
  <c r="I76" i="15" s="1"/>
  <c r="R114" i="15"/>
  <c r="R116" i="15"/>
  <c r="R117" i="15" s="1"/>
  <c r="V48" i="119" s="1"/>
  <c r="E167" i="119" s="1"/>
  <c r="R115" i="15"/>
  <c r="B125" i="15" s="1"/>
  <c r="F78" i="34"/>
  <c r="F80" i="34" s="1"/>
  <c r="F90" i="34"/>
  <c r="G89" i="34" l="1"/>
  <c r="G90" i="34" s="1"/>
  <c r="D90" i="34"/>
  <c r="E78" i="34"/>
  <c r="E80" i="34" s="1"/>
  <c r="B209" i="119"/>
  <c r="G49" i="17"/>
  <c r="H49" i="17" s="1"/>
  <c r="I99" i="15" s="1"/>
  <c r="B83" i="14" s="1"/>
  <c r="G37" i="17"/>
  <c r="H37" i="17" s="1"/>
  <c r="I87" i="15" s="1"/>
  <c r="B71" i="14" s="1"/>
  <c r="G20" i="17"/>
  <c r="H20" i="17" s="1"/>
  <c r="I70" i="15" s="1"/>
  <c r="B54" i="14" s="1"/>
  <c r="G43" i="17"/>
  <c r="H43" i="17" s="1"/>
  <c r="I93" i="15" s="1"/>
  <c r="B77" i="14" s="1"/>
  <c r="G39" i="17"/>
  <c r="H39" i="17" s="1"/>
  <c r="I89" i="15" s="1"/>
  <c r="B73" i="14" s="1"/>
  <c r="G30" i="17"/>
  <c r="H30" i="17" s="1"/>
  <c r="I80" i="15" s="1"/>
  <c r="B64" i="14" s="1"/>
  <c r="G54" i="17"/>
  <c r="H54" i="17" s="1"/>
  <c r="I104" i="15" s="1"/>
  <c r="B88" i="14" s="1"/>
  <c r="G40" i="17"/>
  <c r="H40" i="17" s="1"/>
  <c r="I90" i="15" s="1"/>
  <c r="B74" i="14" s="1"/>
  <c r="G18" i="17"/>
  <c r="H18" i="17" s="1"/>
  <c r="I68" i="15" s="1"/>
  <c r="G47" i="17"/>
  <c r="H47" i="17" s="1"/>
  <c r="I97" i="15" s="1"/>
  <c r="B81" i="14" s="1"/>
  <c r="G46" i="17"/>
  <c r="H46" i="17" s="1"/>
  <c r="I96" i="15" s="1"/>
  <c r="B80" i="14" s="1"/>
  <c r="G57" i="17"/>
  <c r="H57" i="17" s="1"/>
  <c r="I107" i="15" s="1"/>
  <c r="B91" i="14" s="1"/>
  <c r="G23" i="17"/>
  <c r="H23" i="17" s="1"/>
  <c r="I73" i="15" s="1"/>
  <c r="B57" i="14" s="1"/>
  <c r="G56" i="17"/>
  <c r="H56" i="17" s="1"/>
  <c r="I106" i="15" s="1"/>
  <c r="B90" i="14" s="1"/>
  <c r="G53" i="17"/>
  <c r="H53" i="17" s="1"/>
  <c r="I103" i="15" s="1"/>
  <c r="B87" i="14" s="1"/>
  <c r="G51" i="17"/>
  <c r="H51" i="17" s="1"/>
  <c r="I101" i="15" s="1"/>
  <c r="B85" i="14" s="1"/>
  <c r="G25" i="17"/>
  <c r="H25" i="17" s="1"/>
  <c r="I75" i="15" s="1"/>
  <c r="B59" i="14" s="1"/>
  <c r="G38" i="17"/>
  <c r="H38" i="17" s="1"/>
  <c r="I88" i="15" s="1"/>
  <c r="B72" i="14" s="1"/>
  <c r="G34" i="17"/>
  <c r="H34" i="17" s="1"/>
  <c r="I84" i="15" s="1"/>
  <c r="B68" i="14" s="1"/>
  <c r="G31" i="17"/>
  <c r="H31" i="17" s="1"/>
  <c r="I81" i="15" s="1"/>
  <c r="B65" i="14" s="1"/>
  <c r="G19" i="17"/>
  <c r="H19" i="17" s="1"/>
  <c r="I69" i="15" s="1"/>
  <c r="B53" i="14" s="1"/>
  <c r="C108" i="6"/>
  <c r="C15" i="34" s="1"/>
  <c r="G50" i="17"/>
  <c r="H50" i="17" s="1"/>
  <c r="I100" i="15" s="1"/>
  <c r="B84" i="14" s="1"/>
  <c r="G27" i="17"/>
  <c r="H27" i="17" s="1"/>
  <c r="I77" i="15" s="1"/>
  <c r="B61" i="14" s="1"/>
  <c r="G21" i="17"/>
  <c r="H21" i="17" s="1"/>
  <c r="I71" i="15" s="1"/>
  <c r="B55" i="14" s="1"/>
  <c r="G48" i="17"/>
  <c r="H48" i="17" s="1"/>
  <c r="I98" i="15" s="1"/>
  <c r="B82" i="14" s="1"/>
  <c r="G42" i="17"/>
  <c r="H42" i="17" s="1"/>
  <c r="I92" i="15" s="1"/>
  <c r="B76" i="14" s="1"/>
  <c r="G35" i="17"/>
  <c r="H35" i="17" s="1"/>
  <c r="I85" i="15" s="1"/>
  <c r="B69" i="14" s="1"/>
  <c r="G32" i="17"/>
  <c r="H32" i="17" s="1"/>
  <c r="I82" i="15" s="1"/>
  <c r="B66" i="14" s="1"/>
  <c r="G55" i="17"/>
  <c r="H55" i="17" s="1"/>
  <c r="I105" i="15" s="1"/>
  <c r="B89" i="14" s="1"/>
  <c r="G41" i="17"/>
  <c r="H41" i="17" s="1"/>
  <c r="I91" i="15" s="1"/>
  <c r="B75" i="14" s="1"/>
  <c r="G24" i="17"/>
  <c r="H24" i="17" s="1"/>
  <c r="I74" i="15" s="1"/>
  <c r="B58" i="14" s="1"/>
  <c r="G22" i="17"/>
  <c r="H22" i="17" s="1"/>
  <c r="I72" i="15" s="1"/>
  <c r="B56" i="14" s="1"/>
  <c r="G33" i="17"/>
  <c r="H33" i="17" s="1"/>
  <c r="I83" i="15" s="1"/>
  <c r="B67" i="14" s="1"/>
  <c r="G44" i="17"/>
  <c r="H44" i="17" s="1"/>
  <c r="I94" i="15" s="1"/>
  <c r="B78" i="14" s="1"/>
  <c r="G52" i="17"/>
  <c r="H52" i="17" s="1"/>
  <c r="I102" i="15" s="1"/>
  <c r="B86" i="14" s="1"/>
  <c r="G36" i="17"/>
  <c r="H36" i="17" s="1"/>
  <c r="I86" i="15" s="1"/>
  <c r="B70" i="14" s="1"/>
  <c r="G45" i="17"/>
  <c r="H45" i="17" s="1"/>
  <c r="I95" i="15" s="1"/>
  <c r="B79" i="14" s="1"/>
  <c r="G29" i="17"/>
  <c r="H29" i="17" s="1"/>
  <c r="I79" i="15" s="1"/>
  <c r="B63" i="14" s="1"/>
  <c r="G28" i="17"/>
  <c r="H28" i="17" s="1"/>
  <c r="I78" i="15" s="1"/>
  <c r="B62" i="14" s="1"/>
  <c r="B60" i="14"/>
  <c r="G78" i="34" l="1"/>
  <c r="G80" i="34" s="1"/>
  <c r="C209" i="119"/>
  <c r="D209" i="119" s="1"/>
  <c r="B51" i="15"/>
  <c r="H65" i="15" s="1"/>
  <c r="E118" i="6"/>
  <c r="E124" i="6" s="1"/>
  <c r="C9" i="119" s="1"/>
  <c r="I199" i="119" s="1"/>
  <c r="C8" i="119"/>
  <c r="I116" i="15"/>
  <c r="I117" i="15" s="1"/>
  <c r="O48" i="119" s="1"/>
  <c r="E160" i="119" s="1"/>
  <c r="I114" i="15"/>
  <c r="I115" i="15"/>
  <c r="F60" i="14"/>
  <c r="Q60" i="14"/>
  <c r="U60" i="14"/>
  <c r="H60" i="14"/>
  <c r="T60" i="14"/>
  <c r="D60" i="14"/>
  <c r="O60" i="14"/>
  <c r="P60" i="14"/>
  <c r="K60" i="14"/>
  <c r="L60" i="14"/>
  <c r="V60" i="14"/>
  <c r="I60" i="14"/>
  <c r="R60" i="14"/>
  <c r="J60" i="14"/>
  <c r="S60" i="14"/>
  <c r="M60" i="14"/>
  <c r="E60" i="14"/>
  <c r="N60" i="14"/>
  <c r="G60" i="14"/>
  <c r="C60" i="14"/>
  <c r="W60" i="14"/>
  <c r="F79" i="14"/>
  <c r="S79" i="14"/>
  <c r="G79" i="14"/>
  <c r="O79" i="14"/>
  <c r="J79" i="14"/>
  <c r="N79" i="14"/>
  <c r="T79" i="14"/>
  <c r="K79" i="14"/>
  <c r="M79" i="14"/>
  <c r="U79" i="14"/>
  <c r="D79" i="14"/>
  <c r="L79" i="14"/>
  <c r="H79" i="14"/>
  <c r="P79" i="14"/>
  <c r="I79" i="14"/>
  <c r="V79" i="14"/>
  <c r="Q79" i="14"/>
  <c r="R79" i="14"/>
  <c r="E79" i="14"/>
  <c r="W79" i="14"/>
  <c r="C79" i="14"/>
  <c r="R74" i="14"/>
  <c r="H74" i="14"/>
  <c r="N74" i="14"/>
  <c r="K74" i="14"/>
  <c r="U74" i="14"/>
  <c r="M74" i="14"/>
  <c r="D74" i="14"/>
  <c r="L74" i="14"/>
  <c r="T74" i="14"/>
  <c r="V74" i="14"/>
  <c r="S74" i="14"/>
  <c r="G74" i="14"/>
  <c r="W74" i="14"/>
  <c r="J74" i="14"/>
  <c r="I74" i="14"/>
  <c r="Q74" i="14"/>
  <c r="E74" i="14"/>
  <c r="F74" i="14"/>
  <c r="P74" i="14"/>
  <c r="O74" i="14"/>
  <c r="C74" i="14"/>
  <c r="G56" i="14"/>
  <c r="U56" i="14"/>
  <c r="L56" i="14"/>
  <c r="R56" i="14"/>
  <c r="T56" i="14"/>
  <c r="H56" i="14"/>
  <c r="D56" i="14"/>
  <c r="I56" i="14"/>
  <c r="O56" i="14"/>
  <c r="K56" i="14"/>
  <c r="J56" i="14"/>
  <c r="S56" i="14"/>
  <c r="N56" i="14"/>
  <c r="F56" i="14"/>
  <c r="M56" i="14"/>
  <c r="Q56" i="14"/>
  <c r="E56" i="14"/>
  <c r="P56" i="14"/>
  <c r="V56" i="14"/>
  <c r="C56" i="14"/>
  <c r="W56" i="14"/>
  <c r="I73" i="14"/>
  <c r="N73" i="14"/>
  <c r="R73" i="14"/>
  <c r="H73" i="14"/>
  <c r="E73" i="14"/>
  <c r="M73" i="14"/>
  <c r="L73" i="14"/>
  <c r="V73" i="14"/>
  <c r="G73" i="14"/>
  <c r="J73" i="14"/>
  <c r="D73" i="14"/>
  <c r="W73" i="14"/>
  <c r="K73" i="14"/>
  <c r="T73" i="14"/>
  <c r="U73" i="14"/>
  <c r="Q73" i="14"/>
  <c r="F73" i="14"/>
  <c r="S73" i="14"/>
  <c r="O73" i="14"/>
  <c r="P73" i="14"/>
  <c r="C73" i="14"/>
  <c r="O71" i="14"/>
  <c r="Q71" i="14"/>
  <c r="S71" i="14"/>
  <c r="F71" i="14"/>
  <c r="L71" i="14"/>
  <c r="I71" i="14"/>
  <c r="T71" i="14"/>
  <c r="V71" i="14"/>
  <c r="M71" i="14"/>
  <c r="G71" i="14"/>
  <c r="J71" i="14"/>
  <c r="H71" i="14"/>
  <c r="N71" i="14"/>
  <c r="K71" i="14"/>
  <c r="E71" i="14"/>
  <c r="R71" i="14"/>
  <c r="P71" i="14"/>
  <c r="U71" i="14"/>
  <c r="D71" i="14"/>
  <c r="C71" i="14"/>
  <c r="W71" i="14"/>
  <c r="T59" i="14"/>
  <c r="E59" i="14"/>
  <c r="I59" i="14"/>
  <c r="V59" i="14"/>
  <c r="G59" i="14"/>
  <c r="F59" i="14"/>
  <c r="L59" i="14"/>
  <c r="M59" i="14"/>
  <c r="O59" i="14"/>
  <c r="R59" i="14"/>
  <c r="P59" i="14"/>
  <c r="K59" i="14"/>
  <c r="U59" i="14"/>
  <c r="S59" i="14"/>
  <c r="D59" i="14"/>
  <c r="N59" i="14"/>
  <c r="H59" i="14"/>
  <c r="J59" i="14"/>
  <c r="Q59" i="14"/>
  <c r="C59" i="14"/>
  <c r="W59" i="14"/>
  <c r="F68" i="14"/>
  <c r="R68" i="14"/>
  <c r="J68" i="14"/>
  <c r="G68" i="14"/>
  <c r="P68" i="14"/>
  <c r="L68" i="14"/>
  <c r="I68" i="14"/>
  <c r="O68" i="14"/>
  <c r="T68" i="14"/>
  <c r="E68" i="14"/>
  <c r="D68" i="14"/>
  <c r="Q68" i="14"/>
  <c r="N68" i="14"/>
  <c r="U68" i="14"/>
  <c r="K68" i="14"/>
  <c r="S68" i="14"/>
  <c r="V68" i="14"/>
  <c r="M68" i="14"/>
  <c r="H68" i="14"/>
  <c r="C68" i="14"/>
  <c r="W68" i="14"/>
  <c r="O85" i="14"/>
  <c r="U85" i="14"/>
  <c r="W85" i="14"/>
  <c r="J85" i="14"/>
  <c r="L85" i="14"/>
  <c r="V85" i="14"/>
  <c r="H85" i="14"/>
  <c r="D85" i="14"/>
  <c r="F85" i="14"/>
  <c r="Q85" i="14"/>
  <c r="K85" i="14"/>
  <c r="T85" i="14"/>
  <c r="S85" i="14"/>
  <c r="R85" i="14"/>
  <c r="G85" i="14"/>
  <c r="I85" i="14"/>
  <c r="N85" i="14"/>
  <c r="M85" i="14"/>
  <c r="P85" i="14"/>
  <c r="E85" i="14"/>
  <c r="C85" i="14"/>
  <c r="K63" i="14"/>
  <c r="O63" i="14"/>
  <c r="L63" i="14"/>
  <c r="D63" i="14"/>
  <c r="M63" i="14"/>
  <c r="H63" i="14"/>
  <c r="G63" i="14"/>
  <c r="F63" i="14"/>
  <c r="I63" i="14"/>
  <c r="S63" i="14"/>
  <c r="U63" i="14"/>
  <c r="E63" i="14"/>
  <c r="T63" i="14"/>
  <c r="Q63" i="14"/>
  <c r="N63" i="14"/>
  <c r="R63" i="14"/>
  <c r="J63" i="14"/>
  <c r="V63" i="14"/>
  <c r="P63" i="14"/>
  <c r="C63" i="14"/>
  <c r="W63" i="14"/>
  <c r="L53" i="14"/>
  <c r="V53" i="14"/>
  <c r="E53" i="14"/>
  <c r="F53" i="14"/>
  <c r="Q53" i="14"/>
  <c r="G53" i="14"/>
  <c r="R53" i="14"/>
  <c r="J53" i="14"/>
  <c r="K53" i="14"/>
  <c r="I53" i="14"/>
  <c r="O53" i="14"/>
  <c r="S53" i="14"/>
  <c r="U53" i="14"/>
  <c r="T53" i="14"/>
  <c r="D53" i="14"/>
  <c r="P53" i="14"/>
  <c r="M53" i="14"/>
  <c r="H53" i="14"/>
  <c r="N53" i="14"/>
  <c r="C53" i="14"/>
  <c r="W53" i="14"/>
  <c r="H86" i="14"/>
  <c r="I86" i="14"/>
  <c r="L86" i="14"/>
  <c r="J86" i="14"/>
  <c r="R86" i="14"/>
  <c r="T86" i="14"/>
  <c r="N86" i="14"/>
  <c r="D86" i="14"/>
  <c r="O86" i="14"/>
  <c r="F86" i="14"/>
  <c r="E86" i="14"/>
  <c r="K86" i="14"/>
  <c r="W86" i="14"/>
  <c r="U86" i="14"/>
  <c r="S86" i="14"/>
  <c r="Q86" i="14"/>
  <c r="M86" i="14"/>
  <c r="V86" i="14"/>
  <c r="P86" i="14"/>
  <c r="G86" i="14"/>
  <c r="C86" i="14"/>
  <c r="I80" i="14"/>
  <c r="U80" i="14"/>
  <c r="T80" i="14"/>
  <c r="H80" i="14"/>
  <c r="R80" i="14"/>
  <c r="S80" i="14"/>
  <c r="O80" i="14"/>
  <c r="G80" i="14"/>
  <c r="M80" i="14"/>
  <c r="P80" i="14"/>
  <c r="W80" i="14"/>
  <c r="V80" i="14"/>
  <c r="F80" i="14"/>
  <c r="Q80" i="14"/>
  <c r="K80" i="14"/>
  <c r="L80" i="14"/>
  <c r="D80" i="14"/>
  <c r="E80" i="14"/>
  <c r="N80" i="14"/>
  <c r="J80" i="14"/>
  <c r="C80" i="14"/>
  <c r="H75" i="14"/>
  <c r="L75" i="14"/>
  <c r="I75" i="14"/>
  <c r="F75" i="14"/>
  <c r="O75" i="14"/>
  <c r="J75" i="14"/>
  <c r="W75" i="14"/>
  <c r="V75" i="14"/>
  <c r="K75" i="14"/>
  <c r="N75" i="14"/>
  <c r="G75" i="14"/>
  <c r="U75" i="14"/>
  <c r="R75" i="14"/>
  <c r="E75" i="14"/>
  <c r="Q75" i="14"/>
  <c r="P75" i="14"/>
  <c r="M75" i="14"/>
  <c r="T75" i="14"/>
  <c r="S75" i="14"/>
  <c r="D75" i="14"/>
  <c r="C75" i="14"/>
  <c r="D82" i="14"/>
  <c r="E82" i="14"/>
  <c r="P82" i="14"/>
  <c r="U82" i="14"/>
  <c r="F82" i="14"/>
  <c r="S82" i="14"/>
  <c r="G82" i="14"/>
  <c r="O82" i="14"/>
  <c r="R82" i="14"/>
  <c r="V82" i="14"/>
  <c r="J82" i="14"/>
  <c r="M82" i="14"/>
  <c r="Q82" i="14"/>
  <c r="W82" i="14"/>
  <c r="I82" i="14"/>
  <c r="L82" i="14"/>
  <c r="T82" i="14"/>
  <c r="K82" i="14"/>
  <c r="N82" i="14"/>
  <c r="H82" i="14"/>
  <c r="C82" i="14"/>
  <c r="K69" i="14"/>
  <c r="O69" i="14"/>
  <c r="D69" i="14"/>
  <c r="S69" i="14"/>
  <c r="E69" i="14"/>
  <c r="P69" i="14"/>
  <c r="F69" i="14"/>
  <c r="Q69" i="14"/>
  <c r="U69" i="14"/>
  <c r="I69" i="14"/>
  <c r="G69" i="14"/>
  <c r="M69" i="14"/>
  <c r="R69" i="14"/>
  <c r="L69" i="14"/>
  <c r="T69" i="14"/>
  <c r="V69" i="14"/>
  <c r="J69" i="14"/>
  <c r="H69" i="14"/>
  <c r="N69" i="14"/>
  <c r="C69" i="14"/>
  <c r="W69" i="14"/>
  <c r="M55" i="14"/>
  <c r="H55" i="14"/>
  <c r="R55" i="14"/>
  <c r="N55" i="14"/>
  <c r="E55" i="14"/>
  <c r="G55" i="14"/>
  <c r="I55" i="14"/>
  <c r="F55" i="14"/>
  <c r="O55" i="14"/>
  <c r="V55" i="14"/>
  <c r="K55" i="14"/>
  <c r="T55" i="14"/>
  <c r="L55" i="14"/>
  <c r="D55" i="14"/>
  <c r="Q55" i="14"/>
  <c r="U55" i="14"/>
  <c r="S55" i="14"/>
  <c r="J55" i="14"/>
  <c r="P55" i="14"/>
  <c r="C55" i="14"/>
  <c r="W55" i="14"/>
  <c r="E78" i="14"/>
  <c r="U78" i="14"/>
  <c r="O78" i="14"/>
  <c r="P78" i="14"/>
  <c r="T78" i="14"/>
  <c r="S78" i="14"/>
  <c r="Q78" i="14"/>
  <c r="J78" i="14"/>
  <c r="D78" i="14"/>
  <c r="W78" i="14"/>
  <c r="F78" i="14"/>
  <c r="V78" i="14"/>
  <c r="H78" i="14"/>
  <c r="G78" i="14"/>
  <c r="L78" i="14"/>
  <c r="R78" i="14"/>
  <c r="K78" i="14"/>
  <c r="N78" i="14"/>
  <c r="I78" i="14"/>
  <c r="M78" i="14"/>
  <c r="C78" i="14"/>
  <c r="D62" i="14"/>
  <c r="G62" i="14"/>
  <c r="R62" i="14"/>
  <c r="I62" i="14"/>
  <c r="E62" i="14"/>
  <c r="V62" i="14"/>
  <c r="P62" i="14"/>
  <c r="J62" i="14"/>
  <c r="F62" i="14"/>
  <c r="U62" i="14"/>
  <c r="O62" i="14"/>
  <c r="M62" i="14"/>
  <c r="H62" i="14"/>
  <c r="T62" i="14"/>
  <c r="L62" i="14"/>
  <c r="S62" i="14"/>
  <c r="K62" i="14"/>
  <c r="N62" i="14"/>
  <c r="Q62" i="14"/>
  <c r="C62" i="14"/>
  <c r="W62" i="14"/>
  <c r="L87" i="14"/>
  <c r="P87" i="14"/>
  <c r="S87" i="14"/>
  <c r="E87" i="14"/>
  <c r="N87" i="14"/>
  <c r="O87" i="14"/>
  <c r="T87" i="14"/>
  <c r="J87" i="14"/>
  <c r="V87" i="14"/>
  <c r="M87" i="14"/>
  <c r="G87" i="14"/>
  <c r="D87" i="14"/>
  <c r="R87" i="14"/>
  <c r="F87" i="14"/>
  <c r="W87" i="14"/>
  <c r="H87" i="14"/>
  <c r="U87" i="14"/>
  <c r="I87" i="14"/>
  <c r="K87" i="14"/>
  <c r="Q87" i="14"/>
  <c r="C87" i="14"/>
  <c r="Q58" i="14"/>
  <c r="N58" i="14"/>
  <c r="P58" i="14"/>
  <c r="L58" i="14"/>
  <c r="I58" i="14"/>
  <c r="J58" i="14"/>
  <c r="S58" i="14"/>
  <c r="U58" i="14"/>
  <c r="H58" i="14"/>
  <c r="G58" i="14"/>
  <c r="E58" i="14"/>
  <c r="K58" i="14"/>
  <c r="V58" i="14"/>
  <c r="O58" i="14"/>
  <c r="M58" i="14"/>
  <c r="T58" i="14"/>
  <c r="F58" i="14"/>
  <c r="D58" i="14"/>
  <c r="R58" i="14"/>
  <c r="C58" i="14"/>
  <c r="W58" i="14"/>
  <c r="K77" i="14"/>
  <c r="T77" i="14"/>
  <c r="O77" i="14"/>
  <c r="E77" i="14"/>
  <c r="Q77" i="14"/>
  <c r="L77" i="14"/>
  <c r="S77" i="14"/>
  <c r="D77" i="14"/>
  <c r="U77" i="14"/>
  <c r="I77" i="14"/>
  <c r="P77" i="14"/>
  <c r="F77" i="14"/>
  <c r="V77" i="14"/>
  <c r="J77" i="14"/>
  <c r="H77" i="14"/>
  <c r="N77" i="14"/>
  <c r="W77" i="14"/>
  <c r="M77" i="14"/>
  <c r="R77" i="14"/>
  <c r="G77" i="14"/>
  <c r="C77" i="14"/>
  <c r="K57" i="14"/>
  <c r="P57" i="14"/>
  <c r="S57" i="14"/>
  <c r="L57" i="14"/>
  <c r="T57" i="14"/>
  <c r="G57" i="14"/>
  <c r="J57" i="14"/>
  <c r="Q57" i="14"/>
  <c r="I57" i="14"/>
  <c r="H57" i="14"/>
  <c r="F57" i="14"/>
  <c r="N57" i="14"/>
  <c r="O57" i="14"/>
  <c r="M57" i="14"/>
  <c r="D57" i="14"/>
  <c r="U57" i="14"/>
  <c r="R57" i="14"/>
  <c r="E57" i="14"/>
  <c r="V57" i="14"/>
  <c r="C57" i="14"/>
  <c r="W57" i="14"/>
  <c r="M89" i="14"/>
  <c r="F89" i="14"/>
  <c r="T89" i="14"/>
  <c r="R89" i="14"/>
  <c r="V89" i="14"/>
  <c r="U89" i="14"/>
  <c r="G89" i="14"/>
  <c r="S89" i="14"/>
  <c r="P89" i="14"/>
  <c r="N89" i="14"/>
  <c r="H89" i="14"/>
  <c r="K89" i="14"/>
  <c r="L89" i="14"/>
  <c r="D89" i="14"/>
  <c r="O89" i="14"/>
  <c r="E89" i="14"/>
  <c r="W89" i="14"/>
  <c r="Q89" i="14"/>
  <c r="I89" i="14"/>
  <c r="J89" i="14"/>
  <c r="C89" i="14"/>
  <c r="P70" i="14"/>
  <c r="Q70" i="14"/>
  <c r="M70" i="14"/>
  <c r="R70" i="14"/>
  <c r="T70" i="14"/>
  <c r="O70" i="14"/>
  <c r="K70" i="14"/>
  <c r="E70" i="14"/>
  <c r="I70" i="14"/>
  <c r="L70" i="14"/>
  <c r="U70" i="14"/>
  <c r="S70" i="14"/>
  <c r="V70" i="14"/>
  <c r="J70" i="14"/>
  <c r="D70" i="14"/>
  <c r="N70" i="14"/>
  <c r="G70" i="14"/>
  <c r="F70" i="14"/>
  <c r="H70" i="14"/>
  <c r="C70" i="14"/>
  <c r="W70" i="14"/>
  <c r="V81" i="14"/>
  <c r="F81" i="14"/>
  <c r="S81" i="14"/>
  <c r="L81" i="14"/>
  <c r="Q81" i="14"/>
  <c r="J81" i="14"/>
  <c r="W81" i="14"/>
  <c r="R81" i="14"/>
  <c r="K81" i="14"/>
  <c r="N81" i="14"/>
  <c r="M81" i="14"/>
  <c r="E81" i="14"/>
  <c r="T81" i="14"/>
  <c r="U81" i="14"/>
  <c r="I81" i="14"/>
  <c r="H81" i="14"/>
  <c r="O81" i="14"/>
  <c r="D81" i="14"/>
  <c r="P81" i="14"/>
  <c r="G81" i="14"/>
  <c r="C81" i="14"/>
  <c r="P88" i="14"/>
  <c r="T88" i="14"/>
  <c r="G88" i="14"/>
  <c r="N88" i="14"/>
  <c r="O88" i="14"/>
  <c r="L88" i="14"/>
  <c r="D88" i="14"/>
  <c r="F88" i="14"/>
  <c r="V88" i="14"/>
  <c r="R88" i="14"/>
  <c r="E88" i="14"/>
  <c r="U88" i="14"/>
  <c r="M88" i="14"/>
  <c r="J88" i="14"/>
  <c r="W88" i="14"/>
  <c r="K88" i="14"/>
  <c r="I88" i="14"/>
  <c r="H88" i="14"/>
  <c r="Q88" i="14"/>
  <c r="S88" i="14"/>
  <c r="C88" i="14"/>
  <c r="V83" i="14"/>
  <c r="Q83" i="14"/>
  <c r="U83" i="14"/>
  <c r="P83" i="14"/>
  <c r="D83" i="14"/>
  <c r="J83" i="14"/>
  <c r="E83" i="14"/>
  <c r="R83" i="14"/>
  <c r="M83" i="14"/>
  <c r="T83" i="14"/>
  <c r="I83" i="14"/>
  <c r="G83" i="14"/>
  <c r="L83" i="14"/>
  <c r="H83" i="14"/>
  <c r="F83" i="14"/>
  <c r="O83" i="14"/>
  <c r="N83" i="14"/>
  <c r="K83" i="14"/>
  <c r="W83" i="14"/>
  <c r="S83" i="14"/>
  <c r="C83" i="14"/>
  <c r="T76" i="14"/>
  <c r="H76" i="14"/>
  <c r="M76" i="14"/>
  <c r="N76" i="14"/>
  <c r="Q76" i="14"/>
  <c r="R76" i="14"/>
  <c r="G76" i="14"/>
  <c r="V76" i="14"/>
  <c r="I76" i="14"/>
  <c r="E76" i="14"/>
  <c r="J76" i="14"/>
  <c r="D76" i="14"/>
  <c r="W76" i="14"/>
  <c r="S76" i="14"/>
  <c r="O76" i="14"/>
  <c r="L76" i="14"/>
  <c r="F76" i="14"/>
  <c r="P76" i="14"/>
  <c r="K76" i="14"/>
  <c r="U76" i="14"/>
  <c r="C76" i="14"/>
  <c r="H61" i="14"/>
  <c r="U61" i="14"/>
  <c r="E61" i="14"/>
  <c r="M61" i="14"/>
  <c r="Q61" i="14"/>
  <c r="S61" i="14"/>
  <c r="J61" i="14"/>
  <c r="D61" i="14"/>
  <c r="N61" i="14"/>
  <c r="F61" i="14"/>
  <c r="K61" i="14"/>
  <c r="O61" i="14"/>
  <c r="G61" i="14"/>
  <c r="L61" i="14"/>
  <c r="V61" i="14"/>
  <c r="P61" i="14"/>
  <c r="T61" i="14"/>
  <c r="R61" i="14"/>
  <c r="I61" i="14"/>
  <c r="C61" i="14"/>
  <c r="W61" i="14"/>
  <c r="M65" i="14"/>
  <c r="F65" i="14"/>
  <c r="G65" i="14"/>
  <c r="I65" i="14"/>
  <c r="R65" i="14"/>
  <c r="P65" i="14"/>
  <c r="T65" i="14"/>
  <c r="H65" i="14"/>
  <c r="K65" i="14"/>
  <c r="O65" i="14"/>
  <c r="N65" i="14"/>
  <c r="Q65" i="14"/>
  <c r="S65" i="14"/>
  <c r="U65" i="14"/>
  <c r="E65" i="14"/>
  <c r="V65" i="14"/>
  <c r="L65" i="14"/>
  <c r="D65" i="14"/>
  <c r="J65" i="14"/>
  <c r="C65" i="14"/>
  <c r="W65" i="14"/>
  <c r="M72" i="14"/>
  <c r="G72" i="14"/>
  <c r="K72" i="14"/>
  <c r="E72" i="14"/>
  <c r="O72" i="14"/>
  <c r="T72" i="14"/>
  <c r="J72" i="14"/>
  <c r="P72" i="14"/>
  <c r="S72" i="14"/>
  <c r="U72" i="14"/>
  <c r="V72" i="14"/>
  <c r="Q72" i="14"/>
  <c r="D72" i="14"/>
  <c r="N72" i="14"/>
  <c r="L72" i="14"/>
  <c r="H72" i="14"/>
  <c r="R72" i="14"/>
  <c r="F72" i="14"/>
  <c r="I72" i="14"/>
  <c r="C72" i="14"/>
  <c r="W72" i="14"/>
  <c r="H90" i="14"/>
  <c r="K90" i="14"/>
  <c r="U90" i="14"/>
  <c r="T90" i="14"/>
  <c r="G90" i="14"/>
  <c r="I90" i="14"/>
  <c r="J90" i="14"/>
  <c r="S90" i="14"/>
  <c r="V90" i="14"/>
  <c r="D90" i="14"/>
  <c r="M90" i="14"/>
  <c r="N90" i="14"/>
  <c r="W90" i="14"/>
  <c r="O90" i="14"/>
  <c r="P90" i="14"/>
  <c r="F90" i="14"/>
  <c r="L90" i="14"/>
  <c r="Q90" i="14"/>
  <c r="E90" i="14"/>
  <c r="R90" i="14"/>
  <c r="C90" i="14"/>
  <c r="K64" i="14"/>
  <c r="G64" i="14"/>
  <c r="E64" i="14"/>
  <c r="T64" i="14"/>
  <c r="U64" i="14"/>
  <c r="S64" i="14"/>
  <c r="M64" i="14"/>
  <c r="R64" i="14"/>
  <c r="J64" i="14"/>
  <c r="F64" i="14"/>
  <c r="H64" i="14"/>
  <c r="V64" i="14"/>
  <c r="P64" i="14"/>
  <c r="O64" i="14"/>
  <c r="Q64" i="14"/>
  <c r="D64" i="14"/>
  <c r="N64" i="14"/>
  <c r="I64" i="14"/>
  <c r="L64" i="14"/>
  <c r="C64" i="14"/>
  <c r="W64" i="14"/>
  <c r="F54" i="14"/>
  <c r="R54" i="14"/>
  <c r="I54" i="14"/>
  <c r="J54" i="14"/>
  <c r="M54" i="14"/>
  <c r="T54" i="14"/>
  <c r="H54" i="14"/>
  <c r="V54" i="14"/>
  <c r="Q54" i="14"/>
  <c r="P54" i="14"/>
  <c r="K54" i="14"/>
  <c r="U54" i="14"/>
  <c r="S54" i="14"/>
  <c r="G54" i="14"/>
  <c r="D54" i="14"/>
  <c r="O54" i="14"/>
  <c r="L54" i="14"/>
  <c r="E54" i="14"/>
  <c r="N54" i="14"/>
  <c r="C54" i="14"/>
  <c r="W54" i="14"/>
  <c r="J84" i="14"/>
  <c r="R84" i="14"/>
  <c r="O84" i="14"/>
  <c r="H84" i="14"/>
  <c r="I84" i="14"/>
  <c r="V84" i="14"/>
  <c r="G84" i="14"/>
  <c r="N84" i="14"/>
  <c r="S84" i="14"/>
  <c r="M84" i="14"/>
  <c r="U84" i="14"/>
  <c r="F84" i="14"/>
  <c r="T84" i="14"/>
  <c r="W84" i="14"/>
  <c r="L84" i="14"/>
  <c r="Q84" i="14"/>
  <c r="E84" i="14"/>
  <c r="D84" i="14"/>
  <c r="P84" i="14"/>
  <c r="K84" i="14"/>
  <c r="C84" i="14"/>
  <c r="S91" i="14"/>
  <c r="J91" i="14"/>
  <c r="O91" i="14"/>
  <c r="R91" i="14"/>
  <c r="H91" i="14"/>
  <c r="D91" i="14"/>
  <c r="V91" i="14"/>
  <c r="T91" i="14"/>
  <c r="L91" i="14"/>
  <c r="W91" i="14"/>
  <c r="B164" i="14" s="1"/>
  <c r="N91" i="14"/>
  <c r="Q91" i="14"/>
  <c r="K91" i="14"/>
  <c r="U91" i="14"/>
  <c r="C91" i="14"/>
  <c r="P91" i="14"/>
  <c r="E91" i="14"/>
  <c r="I91" i="14"/>
  <c r="F91" i="14"/>
  <c r="M91" i="14"/>
  <c r="G91" i="14"/>
  <c r="L67" i="14"/>
  <c r="K67" i="14"/>
  <c r="F67" i="14"/>
  <c r="D67" i="14"/>
  <c r="G67" i="14"/>
  <c r="P67" i="14"/>
  <c r="N67" i="14"/>
  <c r="S67" i="14"/>
  <c r="M67" i="14"/>
  <c r="I67" i="14"/>
  <c r="O67" i="14"/>
  <c r="T67" i="14"/>
  <c r="R67" i="14"/>
  <c r="V67" i="14"/>
  <c r="U67" i="14"/>
  <c r="E67" i="14"/>
  <c r="J67" i="14"/>
  <c r="Q67" i="14"/>
  <c r="H67" i="14"/>
  <c r="C67" i="14"/>
  <c r="W67" i="14"/>
  <c r="G66" i="14"/>
  <c r="H66" i="14"/>
  <c r="R66" i="14"/>
  <c r="M66" i="14"/>
  <c r="D66" i="14"/>
  <c r="J66" i="14"/>
  <c r="O66" i="14"/>
  <c r="I66" i="14"/>
  <c r="V66" i="14"/>
  <c r="E66" i="14"/>
  <c r="P66" i="14"/>
  <c r="K66" i="14"/>
  <c r="T66" i="14"/>
  <c r="U66" i="14"/>
  <c r="F66" i="14"/>
  <c r="S66" i="14"/>
  <c r="Q66" i="14"/>
  <c r="L66" i="14"/>
  <c r="N66" i="14"/>
  <c r="C66" i="14"/>
  <c r="W66" i="14"/>
  <c r="B210" i="119" l="1"/>
  <c r="C93" i="119"/>
  <c r="D93" i="119" s="1"/>
  <c r="H199" i="119"/>
  <c r="C198" i="119" s="1"/>
  <c r="B56" i="15"/>
  <c r="N86" i="15" s="1"/>
  <c r="H8" i="119"/>
  <c r="C92" i="119" s="1"/>
  <c r="D92" i="119" s="1"/>
  <c r="I8" i="119"/>
  <c r="C94" i="119" s="1"/>
  <c r="D94" i="119" s="1"/>
  <c r="G65" i="15"/>
  <c r="B53" i="15"/>
  <c r="B55" i="15" s="1"/>
  <c r="L107" i="15" s="1"/>
  <c r="L115" i="15" s="1"/>
  <c r="H67" i="15"/>
  <c r="H66" i="15"/>
  <c r="B54" i="15"/>
  <c r="M107" i="15" s="1"/>
  <c r="M114" i="15" s="1"/>
  <c r="B160" i="14"/>
  <c r="B163" i="14"/>
  <c r="B161" i="14"/>
  <c r="B158" i="14"/>
  <c r="B155" i="14"/>
  <c r="B162" i="14"/>
  <c r="B154" i="14"/>
  <c r="X72" i="14"/>
  <c r="X88" i="14"/>
  <c r="X80" i="14"/>
  <c r="X68" i="14"/>
  <c r="X74" i="14"/>
  <c r="B148" i="14"/>
  <c r="B152" i="14"/>
  <c r="B149" i="14"/>
  <c r="X66" i="14"/>
  <c r="B159" i="14"/>
  <c r="X60" i="14"/>
  <c r="B147" i="14"/>
  <c r="B135" i="14"/>
  <c r="U103" i="15" s="1"/>
  <c r="B150" i="14"/>
  <c r="B151" i="14"/>
  <c r="B153" i="14"/>
  <c r="X58" i="14"/>
  <c r="X82" i="14"/>
  <c r="X63" i="14"/>
  <c r="X73" i="14"/>
  <c r="X84" i="14"/>
  <c r="X54" i="14"/>
  <c r="B129" i="14"/>
  <c r="U97" i="15" s="1"/>
  <c r="B130" i="14"/>
  <c r="U98" i="15" s="1"/>
  <c r="X78" i="14"/>
  <c r="B136" i="14"/>
  <c r="U104" i="15" s="1"/>
  <c r="B156" i="14"/>
  <c r="X90" i="14"/>
  <c r="X61" i="14"/>
  <c r="B138" i="14"/>
  <c r="U106" i="15" s="1"/>
  <c r="X77" i="14"/>
  <c r="X62" i="14"/>
  <c r="B121" i="14"/>
  <c r="U89" i="15" s="1"/>
  <c r="X83" i="14"/>
  <c r="X70" i="14"/>
  <c r="B137" i="14"/>
  <c r="U105" i="15" s="1"/>
  <c r="X53" i="14"/>
  <c r="B139" i="14"/>
  <c r="X67" i="14"/>
  <c r="B146" i="14"/>
  <c r="B133" i="14"/>
  <c r="U101" i="15" s="1"/>
  <c r="X87" i="14"/>
  <c r="X69" i="14"/>
  <c r="X85" i="14"/>
  <c r="X71" i="14"/>
  <c r="B128" i="14"/>
  <c r="U96" i="15" s="1"/>
  <c r="B157" i="14"/>
  <c r="B132" i="14"/>
  <c r="U100" i="15" s="1"/>
  <c r="X65" i="14"/>
  <c r="X81" i="14"/>
  <c r="B125" i="14"/>
  <c r="U93" i="15" s="1"/>
  <c r="X75" i="14"/>
  <c r="B124" i="14"/>
  <c r="U92" i="15" s="1"/>
  <c r="B134" i="14"/>
  <c r="U102" i="15" s="1"/>
  <c r="X91" i="14"/>
  <c r="X64" i="14"/>
  <c r="X76" i="14"/>
  <c r="X57" i="14"/>
  <c r="B123" i="14"/>
  <c r="U91" i="15" s="1"/>
  <c r="B127" i="14"/>
  <c r="U95" i="15" s="1"/>
  <c r="X56" i="14"/>
  <c r="C96" i="119"/>
  <c r="D96" i="119" s="1"/>
  <c r="H9" i="119"/>
  <c r="I9" i="119"/>
  <c r="C97" i="119" s="1"/>
  <c r="D97" i="119" s="1"/>
  <c r="D147" i="119" s="1"/>
  <c r="B140" i="14"/>
  <c r="C140" i="14" s="1"/>
  <c r="C141" i="14" s="1"/>
  <c r="X89" i="14"/>
  <c r="B126" i="14"/>
  <c r="U94" i="15" s="1"/>
  <c r="X55" i="14"/>
  <c r="X86" i="14"/>
  <c r="B131" i="14"/>
  <c r="U99" i="15" s="1"/>
  <c r="X59" i="14"/>
  <c r="X79" i="14"/>
  <c r="B122" i="14"/>
  <c r="U90" i="15" s="1"/>
  <c r="G114" i="15" l="1"/>
  <c r="C14" i="13"/>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D101" i="119" s="1"/>
  <c r="L116" i="15"/>
  <c r="L118" i="15" s="1"/>
  <c r="M48" i="119" s="1"/>
  <c r="E157" i="119" s="1"/>
  <c r="L114" i="15"/>
  <c r="M115" i="15"/>
  <c r="B120" i="15" s="1"/>
  <c r="H115" i="15"/>
  <c r="H116" i="15"/>
  <c r="H117" i="15" s="1"/>
  <c r="G115" i="15"/>
  <c r="H114" i="15"/>
  <c r="G116" i="15"/>
  <c r="B44" i="14"/>
  <c r="B52" i="14" s="1"/>
  <c r="S52" i="14" s="1"/>
  <c r="B116" i="14" s="1"/>
  <c r="U84" i="15" s="1"/>
  <c r="M116" i="15"/>
  <c r="M117" i="15" s="1"/>
  <c r="R48" i="119" s="1"/>
  <c r="E163" i="119" s="1"/>
  <c r="L107" i="119"/>
  <c r="D107" i="119" s="1"/>
  <c r="C95" i="119"/>
  <c r="D95" i="119" s="1"/>
  <c r="D115" i="119" s="1"/>
  <c r="B166" i="14"/>
  <c r="U107" i="15" s="1"/>
  <c r="D125" i="119" l="1"/>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105" i="15"/>
  <c r="J87" i="15"/>
  <c r="J98" i="15"/>
  <c r="N115" i="15"/>
  <c r="B121" i="15" s="1"/>
  <c r="J68" i="15"/>
  <c r="J73" i="15"/>
  <c r="J93" i="15"/>
  <c r="J85" i="15"/>
  <c r="J91" i="15"/>
  <c r="J86" i="15"/>
  <c r="J81" i="15"/>
  <c r="J106" i="15"/>
  <c r="J76" i="15"/>
  <c r="N114" i="15"/>
  <c r="J78" i="15"/>
  <c r="N116" i="15"/>
  <c r="N117" i="15" s="1"/>
  <c r="S48" i="119" s="1"/>
  <c r="E164" i="119" s="1"/>
  <c r="P52" i="14"/>
  <c r="B113" i="14" s="1"/>
  <c r="U81" i="15" s="1"/>
  <c r="I52" i="14"/>
  <c r="B106" i="14" s="1"/>
  <c r="U74" i="15" s="1"/>
  <c r="W52" i="14"/>
  <c r="B120" i="14" s="1"/>
  <c r="U88" i="15" s="1"/>
  <c r="M52" i="14"/>
  <c r="B110" i="14" s="1"/>
  <c r="U78" i="15" s="1"/>
  <c r="T52" i="14"/>
  <c r="B117" i="14" s="1"/>
  <c r="U85" i="15" s="1"/>
  <c r="K52" i="14"/>
  <c r="B108" i="14" s="1"/>
  <c r="U76" i="15" s="1"/>
  <c r="J52" i="14"/>
  <c r="B107" i="14" s="1"/>
  <c r="U75" i="15" s="1"/>
  <c r="V52" i="14"/>
  <c r="B119" i="14" s="1"/>
  <c r="U87" i="15" s="1"/>
  <c r="H52" i="14"/>
  <c r="B105" i="14" s="1"/>
  <c r="U73" i="15" s="1"/>
  <c r="Q52" i="14"/>
  <c r="B114" i="14" s="1"/>
  <c r="U82" i="15" s="1"/>
  <c r="E52" i="14"/>
  <c r="B102" i="14" s="1"/>
  <c r="U70" i="15" s="1"/>
  <c r="C52" i="14"/>
  <c r="B100" i="14" s="1"/>
  <c r="N52" i="14"/>
  <c r="B111" i="14" s="1"/>
  <c r="U79" i="15" s="1"/>
  <c r="R52" i="14"/>
  <c r="B115" i="14" s="1"/>
  <c r="U83" i="15" s="1"/>
  <c r="D52" i="14"/>
  <c r="B101" i="14" s="1"/>
  <c r="U69" i="15" s="1"/>
  <c r="G52" i="14"/>
  <c r="B104" i="14" s="1"/>
  <c r="U72" i="15" s="1"/>
  <c r="U52" i="14"/>
  <c r="B118" i="14" s="1"/>
  <c r="U86" i="15" s="1"/>
  <c r="F52" i="14"/>
  <c r="B103" i="14" s="1"/>
  <c r="U71" i="15" s="1"/>
  <c r="O52" i="14"/>
  <c r="B112" i="14" s="1"/>
  <c r="U80" i="15" s="1"/>
  <c r="L52" i="14"/>
  <c r="B109" i="14" s="1"/>
  <c r="U77" i="15" s="1"/>
  <c r="N48" i="119"/>
  <c r="E159" i="119" s="1"/>
  <c r="C211" i="119" l="1"/>
  <c r="D211" i="119" s="1"/>
  <c r="E210" i="119"/>
  <c r="J107" i="15"/>
  <c r="J114" i="15" s="1"/>
  <c r="X52" i="14"/>
  <c r="U68" i="15"/>
  <c r="B141" i="14"/>
  <c r="B212" i="119" l="1"/>
  <c r="F210" i="119"/>
  <c r="G210" i="119" s="1"/>
  <c r="J116" i="15"/>
  <c r="J117" i="15" s="1"/>
  <c r="J115" i="15"/>
  <c r="U114" i="15"/>
  <c r="U116" i="15"/>
  <c r="Y55" i="15" s="1"/>
  <c r="Y57" i="15" s="1"/>
  <c r="U115" i="15"/>
  <c r="C212" i="119" l="1"/>
  <c r="D212" i="119" s="1"/>
  <c r="E211" i="119"/>
  <c r="X55" i="15"/>
  <c r="X57" i="15" s="1"/>
  <c r="P48" i="119"/>
  <c r="E161" i="119" s="1"/>
  <c r="B213" i="119" l="1"/>
  <c r="F211" i="119"/>
  <c r="G211" i="119" s="1"/>
  <c r="C213" i="119" l="1"/>
  <c r="D213" i="119" s="1"/>
  <c r="E212" i="119"/>
  <c r="B214" i="119" l="1"/>
  <c r="F212" i="119"/>
  <c r="G212" i="119" s="1"/>
  <c r="C214" i="119" l="1"/>
  <c r="D214" i="119" s="1"/>
  <c r="E213" i="119"/>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E14" i="13" l="1"/>
  <c r="S65" i="15" l="1"/>
  <c r="T65" i="15" s="1"/>
  <c r="F14" i="13"/>
  <c r="G14" i="13" s="1"/>
  <c r="Z65" i="15" l="1"/>
  <c r="D14" i="13"/>
  <c r="V65" i="15"/>
  <c r="AC65" i="15"/>
  <c r="C15" i="13"/>
  <c r="E15" i="13" s="1"/>
  <c r="F15" i="13" l="1"/>
  <c r="D15" i="13" s="1"/>
  <c r="S66" i="15"/>
  <c r="X65" i="15"/>
  <c r="Y65" i="15" l="1"/>
  <c r="AA65" i="15"/>
  <c r="T66" i="15"/>
  <c r="G15" i="13"/>
  <c r="Z66" i="15"/>
  <c r="V66" i="15" l="1"/>
  <c r="AC66" i="15"/>
  <c r="AB65" i="15"/>
  <c r="C16" i="13"/>
  <c r="E16" i="13" s="1"/>
  <c r="S67" i="15" s="1"/>
  <c r="T67" i="15" l="1"/>
  <c r="F16" i="13"/>
  <c r="D16" i="13" s="1"/>
  <c r="X66" i="15"/>
  <c r="Y66" i="15" l="1"/>
  <c r="AA66" i="15"/>
  <c r="G16" i="13"/>
  <c r="Z67" i="15"/>
  <c r="V67" i="15"/>
  <c r="C17" i="13" l="1"/>
  <c r="E17" i="13" s="1"/>
  <c r="AB66" i="15"/>
  <c r="X67" i="15"/>
  <c r="AC67" i="15"/>
  <c r="F17" i="13" l="1"/>
  <c r="D17" i="13" s="1"/>
  <c r="S68" i="15"/>
  <c r="Y67" i="15"/>
  <c r="AA67" i="15"/>
  <c r="G17" i="13" l="1"/>
  <c r="Z68" i="15"/>
  <c r="AB67" i="15"/>
  <c r="C18" i="13" l="1"/>
  <c r="E18" i="13" s="1"/>
  <c r="F18" i="13" l="1"/>
  <c r="D18" i="13" s="1"/>
  <c r="S69" i="15"/>
  <c r="G18" i="13" l="1"/>
  <c r="Z69" i="15"/>
  <c r="C19" i="13" l="1"/>
  <c r="E19" i="13" s="1"/>
  <c r="S70" i="15" s="1"/>
  <c r="F19" i="13" l="1"/>
  <c r="G19" i="13" s="1"/>
  <c r="Z70" i="15" l="1"/>
  <c r="D19" i="13"/>
  <c r="C20" i="13"/>
  <c r="E20" i="13" l="1"/>
  <c r="S71" i="15" l="1"/>
  <c r="F20" i="13"/>
  <c r="D20" i="13" s="1"/>
  <c r="Z71" i="15" l="1"/>
  <c r="G20" i="13"/>
  <c r="C21" i="13" l="1"/>
  <c r="E21" i="13" s="1"/>
  <c r="F21" i="13" l="1"/>
  <c r="D21" i="13" s="1"/>
  <c r="S72" i="15"/>
  <c r="G21" i="13" l="1"/>
  <c r="Z72" i="15"/>
  <c r="C22" i="13" l="1"/>
  <c r="E22" i="13" s="1"/>
  <c r="S73" i="15" s="1"/>
  <c r="F22" i="13" l="1"/>
  <c r="D22" i="13" s="1"/>
  <c r="G22" i="13" l="1"/>
  <c r="Z73" i="15"/>
  <c r="C23" i="13" l="1"/>
  <c r="E23" i="13" s="1"/>
  <c r="S74" i="15" s="1"/>
  <c r="F23" i="13" l="1"/>
  <c r="D23" i="13" s="1"/>
  <c r="G23" i="13" l="1"/>
  <c r="Z74" i="15"/>
  <c r="C24" i="13" l="1"/>
  <c r="E24" i="13" s="1"/>
  <c r="F24" i="13" l="1"/>
  <c r="D24" i="13" s="1"/>
  <c r="S75" i="15"/>
  <c r="G24" i="13" l="1"/>
  <c r="Z75" i="15"/>
  <c r="C25" i="13" l="1"/>
  <c r="E25" i="13" s="1"/>
  <c r="F25" i="13" l="1"/>
  <c r="D25" i="13" s="1"/>
  <c r="S76" i="15"/>
  <c r="G25" i="13" l="1"/>
  <c r="Z76" i="15"/>
  <c r="C26" i="13" l="1"/>
  <c r="E26" i="13" s="1"/>
  <c r="S77" i="15" s="1"/>
  <c r="F27" i="13" l="1"/>
  <c r="Z78" i="15" l="1"/>
  <c r="F28" i="13" l="1"/>
  <c r="Z79" i="15" l="1"/>
  <c r="F29" i="13" l="1"/>
  <c r="Z80" i="15" l="1"/>
  <c r="F30" i="13" l="1"/>
  <c r="Z81" i="15" l="1"/>
  <c r="F31" i="13" l="1"/>
  <c r="Z82" i="15" l="1"/>
  <c r="F32" i="13" l="1"/>
  <c r="Z83" i="15" l="1"/>
  <c r="F33" i="13" l="1"/>
  <c r="Z84" i="15" l="1"/>
  <c r="F34" i="13" l="1"/>
  <c r="Z85" i="15" l="1"/>
  <c r="F35" i="13" l="1"/>
  <c r="Z86" i="15" l="1"/>
  <c r="F36" i="13" l="1"/>
  <c r="Z87" i="15" l="1"/>
  <c r="F37" i="13" l="1"/>
  <c r="Z88" i="15" l="1"/>
  <c r="F38" i="13" l="1"/>
  <c r="Z89" i="15" l="1"/>
  <c r="F39" i="13" l="1"/>
  <c r="Z90" i="15" l="1"/>
  <c r="F40" i="13" l="1"/>
  <c r="Z91" i="15" l="1"/>
  <c r="F41" i="13" l="1"/>
  <c r="Z92" i="15" l="1"/>
  <c r="F42" i="13" l="1"/>
  <c r="Z93" i="15" l="1"/>
  <c r="F44" i="13" l="1"/>
  <c r="Z95" i="15" l="1"/>
  <c r="F45" i="13" l="1"/>
  <c r="Z96" i="15" l="1"/>
  <c r="F47" i="13" l="1"/>
  <c r="Z98" i="15" s="1"/>
  <c r="F49" i="13" l="1"/>
  <c r="Z100" i="15" l="1"/>
  <c r="F50" i="13" l="1"/>
  <c r="Z101" i="15" l="1"/>
  <c r="F51" i="13" l="1"/>
  <c r="Z102" i="15" l="1"/>
  <c r="F52" i="13" l="1"/>
  <c r="Z103" i="15" l="1"/>
  <c r="F53" i="13" l="1"/>
  <c r="Z104" i="15" l="1"/>
  <c r="F26" i="13" l="1"/>
  <c r="G26" i="13"/>
  <c r="C27" i="13" s="1"/>
  <c r="F43" i="13"/>
  <c r="F46" i="13"/>
  <c r="Z97" i="15" s="1"/>
  <c r="F48" i="13"/>
  <c r="Z99" i="15" s="1"/>
  <c r="Z77" i="15"/>
  <c r="Z94" i="15"/>
  <c r="D26" i="13"/>
  <c r="E27" i="13" l="1"/>
  <c r="G27" i="13"/>
  <c r="C28" i="13" s="1"/>
  <c r="E28" i="13" l="1"/>
  <c r="G28" i="13"/>
  <c r="C29" i="13" s="1"/>
  <c r="S78" i="15"/>
  <c r="D27" i="13"/>
  <c r="E29" i="13" l="1"/>
  <c r="G29" i="13"/>
  <c r="C30" i="13" s="1"/>
  <c r="D28" i="13"/>
  <c r="S79" i="15"/>
  <c r="E30" i="13" l="1"/>
  <c r="G30" i="13"/>
  <c r="C31" i="13" s="1"/>
  <c r="S80" i="15"/>
  <c r="D29" i="13"/>
  <c r="E31" i="13" l="1"/>
  <c r="G31" i="13"/>
  <c r="C32" i="13" s="1"/>
  <c r="D30" i="13"/>
  <c r="S81" i="15"/>
  <c r="E32" i="13" l="1"/>
  <c r="G32" i="13"/>
  <c r="C33" i="13" s="1"/>
  <c r="S82" i="15"/>
  <c r="D31" i="13"/>
  <c r="E33" i="13" l="1"/>
  <c r="G33" i="13"/>
  <c r="C34" i="13" s="1"/>
  <c r="D32" i="13"/>
  <c r="S83" i="15"/>
  <c r="E34" i="13" l="1"/>
  <c r="G34" i="13"/>
  <c r="C35" i="13" s="1"/>
  <c r="D33" i="13"/>
  <c r="S84" i="15"/>
  <c r="E35" i="13" l="1"/>
  <c r="G35" i="13"/>
  <c r="C36" i="13" s="1"/>
  <c r="S85" i="15"/>
  <c r="D34" i="13"/>
  <c r="E36" i="13" l="1"/>
  <c r="G36" i="13"/>
  <c r="C37" i="13" s="1"/>
  <c r="S86" i="15"/>
  <c r="D35" i="13"/>
  <c r="E37" i="13" l="1"/>
  <c r="G37" i="13"/>
  <c r="C38" i="13" s="1"/>
  <c r="D36" i="13"/>
  <c r="S87" i="15"/>
  <c r="E38" i="13" l="1"/>
  <c r="G38" i="13"/>
  <c r="C39" i="13" s="1"/>
  <c r="S88" i="15"/>
  <c r="D37" i="13"/>
  <c r="E39" i="13" l="1"/>
  <c r="G39" i="13"/>
  <c r="C40" i="13" s="1"/>
  <c r="D38" i="13"/>
  <c r="S89" i="15"/>
  <c r="E40" i="13" l="1"/>
  <c r="G40" i="13"/>
  <c r="C41" i="13" s="1"/>
  <c r="S90" i="15"/>
  <c r="D39" i="13"/>
  <c r="E41" i="13" l="1"/>
  <c r="G41" i="13"/>
  <c r="C42" i="13" s="1"/>
  <c r="D40" i="13"/>
  <c r="S91" i="15"/>
  <c r="E42" i="13" l="1"/>
  <c r="G42" i="13"/>
  <c r="C43" i="13" s="1"/>
  <c r="D41" i="13"/>
  <c r="S92" i="15"/>
  <c r="E43" i="13" l="1"/>
  <c r="G43" i="13"/>
  <c r="C44" i="13" s="1"/>
  <c r="S93" i="15"/>
  <c r="D42" i="13"/>
  <c r="G44" i="13" l="1"/>
  <c r="C45" i="13" s="1"/>
  <c r="E44" i="13"/>
  <c r="S94" i="15"/>
  <c r="D43" i="13"/>
  <c r="D44" i="13" l="1"/>
  <c r="S95" i="15"/>
  <c r="E45" i="13"/>
  <c r="G45" i="13"/>
  <c r="C46" i="13" s="1"/>
  <c r="G46" i="13" l="1"/>
  <c r="C47" i="13" s="1"/>
  <c r="E46" i="13"/>
  <c r="S96" i="15"/>
  <c r="D45" i="13"/>
  <c r="D46" i="13" l="1"/>
  <c r="S97" i="15"/>
  <c r="E47" i="13"/>
  <c r="G47" i="13"/>
  <c r="C48" i="13" s="1"/>
  <c r="S98" i="15" l="1"/>
  <c r="D47" i="13"/>
  <c r="G48" i="13"/>
  <c r="C49" i="13" s="1"/>
  <c r="E48" i="13"/>
  <c r="S99" i="15" l="1"/>
  <c r="D48" i="13"/>
  <c r="E49" i="13"/>
  <c r="G49" i="13"/>
  <c r="C50" i="13" s="1"/>
  <c r="E50" i="13" l="1"/>
  <c r="G50" i="13"/>
  <c r="C51" i="13" s="1"/>
  <c r="D49" i="13"/>
  <c r="S100" i="15"/>
  <c r="E51" i="13" l="1"/>
  <c r="G51" i="13"/>
  <c r="C52" i="13" s="1"/>
  <c r="S101" i="15"/>
  <c r="D50" i="13"/>
  <c r="E52" i="13" l="1"/>
  <c r="G52" i="13"/>
  <c r="C53" i="13" s="1"/>
  <c r="S102" i="15"/>
  <c r="D51" i="13"/>
  <c r="E53" i="13" l="1"/>
  <c r="G53" i="13"/>
  <c r="C54" i="13" s="1"/>
  <c r="S103" i="15"/>
  <c r="D52" i="13"/>
  <c r="E54" i="13" l="1"/>
  <c r="G54" i="13"/>
  <c r="C55" i="13" s="1"/>
  <c r="D53" i="13"/>
  <c r="S104" i="15"/>
  <c r="E55" i="13" l="1"/>
  <c r="G55" i="13"/>
  <c r="C56" i="13" s="1"/>
  <c r="S105" i="15"/>
  <c r="D54" i="13"/>
  <c r="E56" i="13" l="1"/>
  <c r="F56" i="13"/>
  <c r="Z107" i="15" s="1"/>
  <c r="S106" i="15"/>
  <c r="D55" i="13"/>
  <c r="G56" i="13" l="1"/>
  <c r="Z116" i="15"/>
  <c r="Z115" i="15"/>
  <c r="Z114" i="15"/>
  <c r="D56" i="13"/>
  <c r="S107" i="15"/>
  <c r="S116" i="15" l="1"/>
  <c r="S115" i="15"/>
  <c r="B119" i="15" s="1"/>
  <c r="S114" i="15"/>
  <c r="Z55" i="15"/>
  <c r="Z57" i="15" s="1"/>
  <c r="Z117" i="15"/>
  <c r="Y48" i="119" s="1"/>
  <c r="E170" i="119" s="1"/>
  <c r="C125" i="15" l="1"/>
  <c r="D25" i="34" s="1"/>
  <c r="C120" i="15"/>
  <c r="D20" i="34" s="1"/>
  <c r="C121" i="15"/>
  <c r="D21" i="34" s="1"/>
  <c r="C124" i="15"/>
  <c r="D24" i="34" s="1"/>
  <c r="C122" i="15"/>
  <c r="D22" i="34" s="1"/>
  <c r="C123" i="15"/>
  <c r="D23" i="34" s="1"/>
  <c r="C119" i="15"/>
  <c r="D19" i="34" s="1"/>
  <c r="S117" i="15"/>
  <c r="AA55" i="15"/>
  <c r="AA57" i="15" s="1"/>
  <c r="E17" i="15" s="1"/>
  <c r="F68" i="15" l="1"/>
  <c r="F70" i="15"/>
  <c r="T70" i="15" s="1"/>
  <c r="F72" i="15"/>
  <c r="T72" i="15" s="1"/>
  <c r="F74" i="15"/>
  <c r="T74" i="15" s="1"/>
  <c r="F76" i="15"/>
  <c r="T76" i="15" s="1"/>
  <c r="F78" i="15"/>
  <c r="T78" i="15" s="1"/>
  <c r="F80" i="15"/>
  <c r="T80" i="15" s="1"/>
  <c r="F82" i="15"/>
  <c r="T82" i="15" s="1"/>
  <c r="F84" i="15"/>
  <c r="T84" i="15" s="1"/>
  <c r="F86" i="15"/>
  <c r="T86" i="15" s="1"/>
  <c r="F88" i="15"/>
  <c r="T88" i="15" s="1"/>
  <c r="F90" i="15"/>
  <c r="T90" i="15" s="1"/>
  <c r="F92" i="15"/>
  <c r="T92" i="15" s="1"/>
  <c r="F94" i="15"/>
  <c r="T94" i="15" s="1"/>
  <c r="F96" i="15"/>
  <c r="T96" i="15" s="1"/>
  <c r="F98" i="15"/>
  <c r="T98" i="15" s="1"/>
  <c r="F100" i="15"/>
  <c r="T100" i="15" s="1"/>
  <c r="F102" i="15"/>
  <c r="T102" i="15" s="1"/>
  <c r="F104" i="15"/>
  <c r="T104" i="15" s="1"/>
  <c r="F106" i="15"/>
  <c r="T106" i="15" s="1"/>
  <c r="F69" i="15"/>
  <c r="T69" i="15" s="1"/>
  <c r="F71" i="15"/>
  <c r="T71" i="15" s="1"/>
  <c r="F73" i="15"/>
  <c r="T73" i="15" s="1"/>
  <c r="F75" i="15"/>
  <c r="T75" i="15" s="1"/>
  <c r="F77" i="15"/>
  <c r="T77" i="15" s="1"/>
  <c r="F79" i="15"/>
  <c r="T79" i="15" s="1"/>
  <c r="F81" i="15"/>
  <c r="T81" i="15" s="1"/>
  <c r="F83" i="15"/>
  <c r="T83" i="15" s="1"/>
  <c r="F85" i="15"/>
  <c r="T85" i="15" s="1"/>
  <c r="F87" i="15"/>
  <c r="T87" i="15" s="1"/>
  <c r="F89" i="15"/>
  <c r="T89" i="15" s="1"/>
  <c r="F91" i="15"/>
  <c r="T91" i="15" s="1"/>
  <c r="F93" i="15"/>
  <c r="T93" i="15" s="1"/>
  <c r="F95" i="15"/>
  <c r="T95" i="15" s="1"/>
  <c r="F97" i="15"/>
  <c r="T97" i="15" s="1"/>
  <c r="F99" i="15"/>
  <c r="T99" i="15" s="1"/>
  <c r="F101" i="15"/>
  <c r="T101" i="15" s="1"/>
  <c r="F103" i="15"/>
  <c r="T103" i="15" s="1"/>
  <c r="F105" i="15"/>
  <c r="T105" i="15" s="1"/>
  <c r="F107" i="15"/>
  <c r="T107" i="15" s="1"/>
  <c r="E16" i="15"/>
  <c r="W48" i="119"/>
  <c r="E168" i="119" s="1"/>
  <c r="X60" i="15"/>
  <c r="V107" i="15" l="1"/>
  <c r="X107" i="15" s="1"/>
  <c r="AA107" i="15" s="1"/>
  <c r="AC107" i="15"/>
  <c r="V91" i="15"/>
  <c r="X91" i="15" s="1"/>
  <c r="AA91" i="15" s="1"/>
  <c r="AC91" i="15"/>
  <c r="V75" i="15"/>
  <c r="X75" i="15" s="1"/>
  <c r="AA75" i="15" s="1"/>
  <c r="AC75" i="15"/>
  <c r="V98" i="15"/>
  <c r="X98" i="15" s="1"/>
  <c r="Y98" i="15" s="1"/>
  <c r="AC98" i="15"/>
  <c r="V82" i="15"/>
  <c r="X82" i="15" s="1"/>
  <c r="Y82" i="15" s="1"/>
  <c r="AC82" i="15"/>
  <c r="V89" i="15"/>
  <c r="X89" i="15" s="1"/>
  <c r="Y89" i="15" s="1"/>
  <c r="AC89" i="15"/>
  <c r="V73" i="15"/>
  <c r="X73" i="15" s="1"/>
  <c r="AA73" i="15" s="1"/>
  <c r="AC73" i="15"/>
  <c r="V96" i="15"/>
  <c r="X96" i="15" s="1"/>
  <c r="AA96" i="15" s="1"/>
  <c r="AC96" i="15"/>
  <c r="V80" i="15"/>
  <c r="X80" i="15" s="1"/>
  <c r="AA80" i="15" s="1"/>
  <c r="AC80" i="15"/>
  <c r="V103" i="15"/>
  <c r="X103" i="15" s="1"/>
  <c r="Y103" i="15" s="1"/>
  <c r="AC103" i="15"/>
  <c r="V87" i="15"/>
  <c r="X87" i="15" s="1"/>
  <c r="AA87" i="15" s="1"/>
  <c r="AC87" i="15"/>
  <c r="V71" i="15"/>
  <c r="X71" i="15" s="1"/>
  <c r="AA71" i="15" s="1"/>
  <c r="AC71" i="15"/>
  <c r="AC94" i="15"/>
  <c r="V94" i="15"/>
  <c r="X94" i="15" s="1"/>
  <c r="Y94" i="15" s="1"/>
  <c r="AC78" i="15"/>
  <c r="V78" i="15"/>
  <c r="X78" i="15" s="1"/>
  <c r="Y78" i="15" s="1"/>
  <c r="V101" i="15"/>
  <c r="X101" i="15" s="1"/>
  <c r="Y101" i="15" s="1"/>
  <c r="AC101" i="15"/>
  <c r="V85" i="15"/>
  <c r="X85" i="15" s="1"/>
  <c r="Y85" i="15" s="1"/>
  <c r="AC85" i="15"/>
  <c r="V69" i="15"/>
  <c r="X69" i="15" s="1"/>
  <c r="Y69" i="15" s="1"/>
  <c r="AC69" i="15"/>
  <c r="AC92" i="15"/>
  <c r="V92" i="15"/>
  <c r="X92" i="15" s="1"/>
  <c r="AA92" i="15" s="1"/>
  <c r="AC76" i="15"/>
  <c r="V76" i="15"/>
  <c r="X76" i="15" s="1"/>
  <c r="AA76" i="15" s="1"/>
  <c r="V99" i="15"/>
  <c r="X99" i="15" s="1"/>
  <c r="AA99" i="15" s="1"/>
  <c r="AC99" i="15"/>
  <c r="V83" i="15"/>
  <c r="X83" i="15" s="1"/>
  <c r="AA83" i="15" s="1"/>
  <c r="AC83" i="15"/>
  <c r="V106" i="15"/>
  <c r="X106" i="15" s="1"/>
  <c r="AA106" i="15" s="1"/>
  <c r="AC106" i="15"/>
  <c r="V90" i="15"/>
  <c r="X90" i="15" s="1"/>
  <c r="AA90" i="15" s="1"/>
  <c r="AC90" i="15"/>
  <c r="V74" i="15"/>
  <c r="X74" i="15" s="1"/>
  <c r="Y74" i="15" s="1"/>
  <c r="AC74" i="15"/>
  <c r="V97" i="15"/>
  <c r="X97" i="15" s="1"/>
  <c r="AA97" i="15" s="1"/>
  <c r="AC97" i="15"/>
  <c r="V81" i="15"/>
  <c r="X81" i="15" s="1"/>
  <c r="Y81" i="15" s="1"/>
  <c r="AC81" i="15"/>
  <c r="V104" i="15"/>
  <c r="X104" i="15" s="1"/>
  <c r="AA104" i="15" s="1"/>
  <c r="AC104" i="15"/>
  <c r="V88" i="15"/>
  <c r="X88" i="15" s="1"/>
  <c r="Y88" i="15" s="1"/>
  <c r="AC88" i="15"/>
  <c r="V72" i="15"/>
  <c r="X72" i="15" s="1"/>
  <c r="AA72" i="15" s="1"/>
  <c r="AC72" i="15"/>
  <c r="V95" i="15"/>
  <c r="X95" i="15" s="1"/>
  <c r="Y95" i="15" s="1"/>
  <c r="AC95" i="15"/>
  <c r="V79" i="15"/>
  <c r="X79" i="15" s="1"/>
  <c r="Y79" i="15" s="1"/>
  <c r="AC79" i="15"/>
  <c r="AC102" i="15"/>
  <c r="V102" i="15"/>
  <c r="X102" i="15" s="1"/>
  <c r="Y102" i="15" s="1"/>
  <c r="AC86" i="15"/>
  <c r="V86" i="15"/>
  <c r="X86" i="15" s="1"/>
  <c r="Y86" i="15" s="1"/>
  <c r="AC70" i="15"/>
  <c r="V70" i="15"/>
  <c r="X70" i="15" s="1"/>
  <c r="Y70" i="15" s="1"/>
  <c r="V105" i="15"/>
  <c r="X105" i="15" s="1"/>
  <c r="Y105" i="15" s="1"/>
  <c r="AC105" i="15"/>
  <c r="D122" i="15"/>
  <c r="C22" i="34" s="1"/>
  <c r="D125" i="15"/>
  <c r="C25" i="34" s="1"/>
  <c r="D123" i="15"/>
  <c r="C23" i="34" s="1"/>
  <c r="D121" i="15"/>
  <c r="C21" i="34" s="1"/>
  <c r="D119" i="15"/>
  <c r="C19" i="34" s="1"/>
  <c r="D124" i="15"/>
  <c r="C24" i="34" s="1"/>
  <c r="D120" i="15"/>
  <c r="C20" i="34" s="1"/>
  <c r="V93" i="15"/>
  <c r="X93" i="15" s="1"/>
  <c r="AA93" i="15" s="1"/>
  <c r="AC93" i="15"/>
  <c r="V77" i="15"/>
  <c r="X77" i="15" s="1"/>
  <c r="Y77" i="15" s="1"/>
  <c r="AC77" i="15"/>
  <c r="AC100" i="15"/>
  <c r="V100" i="15"/>
  <c r="X100" i="15" s="1"/>
  <c r="Y100" i="15" s="1"/>
  <c r="AC84" i="15"/>
  <c r="V84" i="15"/>
  <c r="X84" i="15" s="1"/>
  <c r="Y84" i="15" s="1"/>
  <c r="F114" i="15"/>
  <c r="T68" i="15"/>
  <c r="F116" i="15"/>
  <c r="F118" i="15" s="1"/>
  <c r="F115" i="15"/>
  <c r="Y91" i="15" l="1"/>
  <c r="Y107" i="15"/>
  <c r="AA79" i="15"/>
  <c r="Y97" i="15"/>
  <c r="AA95" i="15"/>
  <c r="Y92" i="15"/>
  <c r="AA100" i="15"/>
  <c r="AA81" i="15"/>
  <c r="AA77" i="15"/>
  <c r="Y90" i="15"/>
  <c r="AA105" i="15"/>
  <c r="Y76" i="15"/>
  <c r="Y106" i="15"/>
  <c r="AA98" i="15"/>
  <c r="Y93" i="15"/>
  <c r="AA103" i="15"/>
  <c r="Y75" i="15"/>
  <c r="AA89" i="15"/>
  <c r="K48" i="119"/>
  <c r="E155" i="119" s="1"/>
  <c r="AG118" i="15"/>
  <c r="AC68" i="15"/>
  <c r="V68" i="15"/>
  <c r="T114" i="15"/>
  <c r="T115" i="15"/>
  <c r="T116" i="15"/>
  <c r="AA88" i="15"/>
  <c r="Y99" i="15"/>
  <c r="AA85" i="15"/>
  <c r="AA78" i="15"/>
  <c r="Y71" i="15"/>
  <c r="Y96" i="15"/>
  <c r="AA86" i="15"/>
  <c r="Y72" i="15"/>
  <c r="Y104" i="15"/>
  <c r="AA74" i="15"/>
  <c r="C26" i="34"/>
  <c r="Y83" i="15"/>
  <c r="AA69" i="15"/>
  <c r="AA101" i="15"/>
  <c r="AA94" i="15"/>
  <c r="Y87" i="15"/>
  <c r="Y80" i="15"/>
  <c r="AA84" i="15"/>
  <c r="AA70" i="15"/>
  <c r="AA102" i="15"/>
  <c r="Y73" i="15"/>
  <c r="AA82" i="15"/>
  <c r="V116" i="15" l="1"/>
  <c r="X68" i="15"/>
  <c r="V114" i="15"/>
  <c r="V115" i="15"/>
  <c r="AC115" i="15"/>
  <c r="AC116" i="15"/>
  <c r="AC114" i="15"/>
  <c r="E21" i="15"/>
  <c r="E19" i="15" s="1"/>
  <c r="F155" i="119"/>
  <c r="F156" i="119"/>
  <c r="F157" i="119"/>
  <c r="X115" i="15" l="1"/>
  <c r="X116" i="15"/>
  <c r="X117" i="15" s="1"/>
  <c r="X114" i="15"/>
  <c r="Y68" i="15"/>
  <c r="AA68" i="15"/>
  <c r="H155" i="119"/>
  <c r="K155" i="119" s="1"/>
  <c r="I155" i="119"/>
  <c r="L155" i="119" s="1"/>
  <c r="H157" i="119"/>
  <c r="K157" i="119" s="1"/>
  <c r="I156" i="119"/>
  <c r="L156" i="119" s="1"/>
  <c r="I157" i="119"/>
  <c r="L157" i="119" s="1"/>
  <c r="N157" i="119" s="1"/>
  <c r="H156" i="119"/>
  <c r="K156" i="119" s="1"/>
  <c r="L171" i="119" l="1"/>
  <c r="N155" i="119"/>
  <c r="AA116" i="15"/>
  <c r="E20" i="15"/>
  <c r="E18" i="15" s="1"/>
  <c r="AA114" i="15"/>
  <c r="AB68" i="15"/>
  <c r="E26" i="15"/>
  <c r="H17" i="6" s="1"/>
  <c r="AA115" i="15"/>
  <c r="Y114" i="15"/>
  <c r="Y116" i="15"/>
  <c r="Y115" i="15"/>
  <c r="X48" i="119"/>
  <c r="E169" i="119" s="1"/>
  <c r="AG117" i="15"/>
  <c r="N156" i="119"/>
  <c r="F169" i="119" l="1"/>
  <c r="F161" i="119"/>
  <c r="F160" i="119"/>
  <c r="F159" i="119"/>
  <c r="F168" i="119"/>
  <c r="F162" i="119"/>
  <c r="F170" i="119"/>
  <c r="F163" i="119"/>
  <c r="F164" i="119"/>
  <c r="F165" i="119"/>
  <c r="F166" i="119"/>
  <c r="F167" i="119"/>
  <c r="AB69" i="15"/>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AB116" i="15" l="1"/>
  <c r="AB114" i="15"/>
  <c r="H165" i="119"/>
  <c r="K165" i="119" s="1"/>
  <c r="I161" i="119"/>
  <c r="M161" i="119" s="1"/>
  <c r="I166" i="119"/>
  <c r="M166" i="119" s="1"/>
  <c r="I170" i="119"/>
  <c r="M170" i="119" s="1"/>
  <c r="N170" i="119" s="1"/>
  <c r="H166" i="119"/>
  <c r="K166" i="119" s="1"/>
  <c r="I162" i="119"/>
  <c r="M162" i="119" s="1"/>
  <c r="I160" i="119"/>
  <c r="M160" i="119" s="1"/>
  <c r="I163" i="119"/>
  <c r="M163" i="119" s="1"/>
  <c r="I167" i="119"/>
  <c r="M167" i="119" s="1"/>
  <c r="H168" i="119"/>
  <c r="K168" i="119" s="1"/>
  <c r="H170" i="119"/>
  <c r="K170" i="119" s="1"/>
  <c r="H162" i="119"/>
  <c r="K162" i="119" s="1"/>
  <c r="H160" i="119"/>
  <c r="K160" i="119" s="1"/>
  <c r="H163" i="119"/>
  <c r="K163" i="119" s="1"/>
  <c r="I164" i="119"/>
  <c r="M164" i="119" s="1"/>
  <c r="I168" i="119"/>
  <c r="M168" i="119" s="1"/>
  <c r="H159" i="119"/>
  <c r="K159" i="119" s="1"/>
  <c r="H167" i="119"/>
  <c r="K167" i="119" s="1"/>
  <c r="H164" i="119"/>
  <c r="K164" i="119" s="1"/>
  <c r="I159" i="119"/>
  <c r="M159" i="119" s="1"/>
  <c r="I165" i="119"/>
  <c r="M165" i="119" s="1"/>
  <c r="I169" i="119"/>
  <c r="M169" i="119" s="1"/>
  <c r="H169" i="119"/>
  <c r="K169" i="119" s="1"/>
  <c r="H161" i="119"/>
  <c r="K161" i="119" s="1"/>
  <c r="AB115" i="15"/>
  <c r="N165" i="119" l="1"/>
  <c r="N169" i="119"/>
  <c r="N168" i="119"/>
  <c r="N163" i="119"/>
  <c r="N162" i="119"/>
  <c r="N166" i="119"/>
  <c r="M171" i="119"/>
  <c r="N171" i="119" s="1"/>
  <c r="N159" i="119"/>
  <c r="N161" i="119"/>
  <c r="N167" i="119"/>
  <c r="N164" i="119"/>
  <c r="N160"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<sst xmlns="http://schemas.openxmlformats.org/spreadsheetml/2006/main" count="3979" uniqueCount="1425">
  <si>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</si>
  <si>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</si>
  <si>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</si>
  <si>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</si>
  <si>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</si>
  <si>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</si>
  <si>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</si>
  <si>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</si>
  <si>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</si>
  <si>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</si>
  <si>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</si>
  <si>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</si>
  <si>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</si>
  <si>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</si>
  <si>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</si>
  <si>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</si>
  <si>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</si>
  <si>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</si>
  <si>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</si>
  <si>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</si>
  <si>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</si>
  <si>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</si>
  <si>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</si>
  <si>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</si>
  <si>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</si>
  <si>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</si>
  <si>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</si>
  <si>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</si>
  <si>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</si>
  <si>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</si>
  <si>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</si>
  <si>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</si>
  <si>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</si>
  <si>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</si>
  <si>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</si>
  <si>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</si>
  <si>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</si>
  <si>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</si>
  <si>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</si>
  <si>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</si>
  <si>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</si>
  <si>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</si>
  <si>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</si>
  <si>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</si>
  <si>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</si>
  <si>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</si>
  <si>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</si>
  <si>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</si>
  <si>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</si>
  <si>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</si>
  <si>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</si>
  <si>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</si>
  <si>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</si>
  <si>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</si>
  <si>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</si>
  <si>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</si>
  <si>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</si>
  <si>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</si>
  <si>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</si>
  <si>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</si>
  <si>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</si>
  <si>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</si>
  <si>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</si>
  <si>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</si>
  <si>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</si>
  <si>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</si>
  <si>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</si>
  <si>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</si>
  <si>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</si>
  <si>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</si>
  <si>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</si>
  <si>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</si>
  <si>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</si>
  <si>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</si>
  <si>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</si>
  <si>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</si>
  <si>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</si>
  <si>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</si>
  <si>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</si>
  <si>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</si>
  <si>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</si>
  <si>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</si>
  <si>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</si>
  <si>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</si>
  <si>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</si>
  <si>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</si>
  <si>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</si>
  <si>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</si>
  <si>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</si>
  <si>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</si>
  <si>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</si>
  <si>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</si>
  <si>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</si>
  <si>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</si>
  <si>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</si>
  <si>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</si>
  <si>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</si>
  <si>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</si>
  <si>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</si>
  <si>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</si>
  <si>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</si>
  <si>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</si>
  <si>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</si>
  <si>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</si>
  <si>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</si>
  <si>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</si>
  <si>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</si>
  <si>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</si>
  <si>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</si>
  <si>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</si>
  <si>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</si>
  <si>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</si>
  <si>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</si>
  <si>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</si>
  <si>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</si>
  <si>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</si>
  <si>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</si>
  <si>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</si>
  <si>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</si>
  <si>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</si>
  <si>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</si>
  <si>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</si>
  <si>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</si>
  <si>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</si>
  <si>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</si>
  <si>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</si>
  <si>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</si>
  <si>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</si>
  <si>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</si>
  <si>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</si>
  <si>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</si>
  <si>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</si>
  <si>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</si>
  <si>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</si>
  <si>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</si>
  <si>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</si>
  <si>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</si>
  <si>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</si>
  <si>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</si>
  <si>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</si>
  <si>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</si>
  <si>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</si>
  <si>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</si>
  <si>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</si>
  <si>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</si>
  <si>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</si>
  <si>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</si>
  <si>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</si>
  <si>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</si>
  <si>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</si>
  <si>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</si>
  <si>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</si>
  <si>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</si>
  <si>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</si>
  <si>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</si>
  <si>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</si>
  <si>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</si>
  <si>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</si>
  <si>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</si>
  <si>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</si>
  <si>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</si>
  <si>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</si>
  <si>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</si>
  <si>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</si>
  <si>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</si>
  <si>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</si>
  <si>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</si>
  <si>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</si>
  <si>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</si>
  <si>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</si>
  <si>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</si>
  <si>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</si>
  <si>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</si>
  <si>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</si>
  <si>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</si>
  <si>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</si>
  <si>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</si>
  <si>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</si>
  <si>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</si>
  <si>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</si>
  <si>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</si>
  <si>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</si>
  <si>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</si>
  <si>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</si>
  <si>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</si>
  <si>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</si>
  <si>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</si>
  <si>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</si>
  <si>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</si>
  <si>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</si>
  <si>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</si>
  <si>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</si>
  <si>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</si>
  <si>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</si>
  <si>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</si>
  <si>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</si>
  <si>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</si>
  <si>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</si>
  <si>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</si>
  <si>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</si>
  <si>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</si>
  <si>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</si>
  <si>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</si>
  <si>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</si>
  <si>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</si>
  <si>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</si>
  <si>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</si>
  <si>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</si>
  <si>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</si>
  <si>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</si>
  <si>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</si>
  <si>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</si>
  <si>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</si>
  <si>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</si>
  <si>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</si>
  <si>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</si>
  <si>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</si>
  <si>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</si>
  <si>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</si>
  <si>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</si>
  <si>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</si>
  <si>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</si>
  <si>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</si>
  <si>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</si>
  <si>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</si>
  <si>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</si>
  <si>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</si>
  <si>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</si>
  <si>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</si>
  <si>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</si>
  <si>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</si>
  <si>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</si>
  <si>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</si>
  <si>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</si>
  <si>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</si>
  <si>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</si>
  <si>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</si>
  <si>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</si>
  <si>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</si>
  <si>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</si>
  <si>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</si>
  <si>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</si>
  <si>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</si>
  <si>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</si>
  <si>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</si>
  <si>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</si>
  <si>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</si>
  <si>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</si>
  <si>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</si>
  <si>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</si>
  <si>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</si>
  <si>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</si>
  <si>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</si>
  <si>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</si>
  <si>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</si>
  <si>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</si>
  <si>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</si>
  <si>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</si>
  <si>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</si>
  <si>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</si>
  <si>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</si>
  <si>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</si>
  <si>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</si>
  <si>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</si>
  <si>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</si>
  <si>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</si>
  <si>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</si>
  <si>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</si>
  <si>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</si>
  <si>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</si>
  <si>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</si>
  <si>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</si>
  <si>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</si>
  <si>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</si>
  <si>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</si>
  <si>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</si>
  <si>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</si>
  <si>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</si>
  <si>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</si>
  <si>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</si>
  <si>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</si>
  <si>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</si>
  <si>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</si>
  <si>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</si>
  <si>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</si>
  <si>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</si>
  <si>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</si>
  <si>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</si>
  <si>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</si>
  <si>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</si>
  <si>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</si>
  <si>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</si>
  <si>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</si>
  <si>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</si>
  <si>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</si>
  <si>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</si>
  <si>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</si>
  <si>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</si>
  <si>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</si>
  <si>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</si>
  <si>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</si>
  <si>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</si>
  <si>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</si>
  <si>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</si>
  <si>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</si>
  <si>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</si>
  <si>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</si>
  <si>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</si>
  <si>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</si>
  <si>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</si>
  <si>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</si>
  <si>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</si>
  <si>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</si>
  <si>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</si>
  <si>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</si>
  <si>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</si>
  <si>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</si>
  <si>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</si>
  <si>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</si>
  <si>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</si>
  <si>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</si>
  <si>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</si>
  <si>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</si>
  <si>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</si>
  <si>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</si>
  <si>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</si>
  <si>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</si>
  <si>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</si>
  <si>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</si>
  <si>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</si>
  <si>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</si>
  <si>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</si>
  <si>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</si>
  <si>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</si>
  <si>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</si>
  <si>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</si>
  <si>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</si>
  <si>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</si>
  <si>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</si>
  <si>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</si>
  <si>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</si>
  <si>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</si>
  <si>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</si>
  <si>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</si>
  <si>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</si>
  <si>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</si>
  <si>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</si>
  <si>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</si>
  <si>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</si>
  <si>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</si>
  <si>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</si>
  <si>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</si>
  <si>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</si>
  <si>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</si>
  <si>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</si>
  <si>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</si>
  <si>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</si>
  <si>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</si>
  <si>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</si>
  <si>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</si>
  <si>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</si>
  <si>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</si>
  <si>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</si>
  <si>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</si>
  <si>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</si>
  <si>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</si>
  <si>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</si>
  <si>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</si>
  <si>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</si>
  <si>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</si>
  <si>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</si>
  <si>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</si>
  <si>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</si>
  <si>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</si>
  <si>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</si>
  <si>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</si>
  <si>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</si>
  <si>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</si>
  <si>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</si>
  <si>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</si>
  <si>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</si>
  <si>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</si>
  <si>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</si>
  <si>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</si>
  <si>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</si>
  <si>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</si>
  <si>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</si>
  <si>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</si>
  <si>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</si>
  <si>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</si>
  <si>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</si>
  <si>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</si>
  <si>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</si>
  <si>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</si>
  <si>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</si>
  <si>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</si>
  <si>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</si>
  <si>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</si>
  <si>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</si>
  <si>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</si>
  <si>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</si>
  <si>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</si>
  <si>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</si>
  <si>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</si>
  <si>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</si>
  <si>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</si>
  <si>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</si>
  <si>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</si>
  <si>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</si>
  <si>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</si>
  <si>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</si>
  <si>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</si>
  <si>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</si>
  <si>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</si>
  <si>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</si>
  <si>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</si>
  <si>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</si>
  <si>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</si>
  <si>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</si>
  <si>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</si>
  <si>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</si>
  <si>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</si>
  <si>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</si>
  <si>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</si>
  <si>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</si>
  <si>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</si>
  <si>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</si>
  <si>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</si>
  <si>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</si>
  <si>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</si>
  <si>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</si>
  <si>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</si>
  <si>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</si>
  <si>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</si>
  <si>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</si>
  <si>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</si>
  <si>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</si>
  <si>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</si>
  <si>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</si>
  <si>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</si>
  <si>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</si>
  <si>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</si>
  <si>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</si>
  <si>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</si>
  <si>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</si>
  <si>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</si>
  <si>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</si>
  <si>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</si>
  <si>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</si>
  <si>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</si>
  <si>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</si>
  <si>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</si>
  <si>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</si>
  <si>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</si>
  <si>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</si>
  <si>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</si>
  <si>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</si>
  <si>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</si>
  <si>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</si>
  <si>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</si>
  <si>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</si>
  <si>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</si>
  <si>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</si>
  <si>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</si>
  <si>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</si>
  <si>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</si>
  <si>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</si>
  <si>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</si>
  <si>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</si>
  <si>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</si>
  <si>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</si>
  <si>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</si>
  <si>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</si>
  <si>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</si>
  <si>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</si>
  <si>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</si>
  <si>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</si>
  <si>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</si>
  <si>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</si>
  <si>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</si>
  <si>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</si>
  <si>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</si>
  <si>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</si>
  <si>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</si>
  <si>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</si>
  <si>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</si>
  <si>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</si>
  <si>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</si>
  <si>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</si>
  <si>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</si>
  <si>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</si>
  <si>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</si>
  <si>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</si>
  <si>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</si>
  <si>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</si>
  <si>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</si>
  <si>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</si>
  <si>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</si>
  <si>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</si>
  <si>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</si>
  <si>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</si>
  <si>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</si>
  <si>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</si>
  <si>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</si>
  <si>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</si>
  <si>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</si>
  <si>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</si>
  <si>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</si>
  <si>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</si>
  <si>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</si>
  <si>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</si>
  <si>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</si>
  <si>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</si>
  <si>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</si>
  <si>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</si>
  <si>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</si>
  <si>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</si>
  <si>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</si>
  <si>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</si>
  <si>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</si>
  <si>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</si>
  <si>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</si>
  <si>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</si>
  <si>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</si>
  <si>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</si>
  <si>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</si>
  <si>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</si>
  <si>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</si>
  <si>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</si>
  <si>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</si>
  <si>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</si>
  <si>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</si>
  <si>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</si>
  <si>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</si>
  <si>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</si>
  <si>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</si>
  <si>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</si>
  <si>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</si>
  <si>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</si>
  <si>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</si>
  <si>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</si>
  <si>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</si>
  <si>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</si>
  <si>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</si>
  <si>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</si>
  <si>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</si>
  <si>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</si>
  <si>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</si>
  <si>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</si>
  <si>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</si>
  <si>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</si>
  <si>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</si>
  <si>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</si>
  <si>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</si>
  <si>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</si>
  <si>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</si>
  <si>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</si>
  <si>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</si>
  <si>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</si>
  <si>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</si>
  <si>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</si>
  <si>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</si>
  <si>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</si>
  <si>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</si>
  <si>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</si>
  <si>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</si>
  <si>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</si>
  <si>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</si>
  <si>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</si>
  <si>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</si>
  <si>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</si>
  <si>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</si>
  <si>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</si>
  <si>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</si>
  <si>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</si>
  <si>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</si>
  <si>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</si>
  <si>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</si>
  <si>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</si>
  <si>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</si>
  <si>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</si>
  <si>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</si>
  <si>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</si>
  <si>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</si>
  <si>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</si>
  <si>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</si>
  <si>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</si>
  <si>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</si>
  <si>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</si>
  <si>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</si>
  <si>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</si>
  <si>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</si>
  <si>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</si>
  <si>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</si>
  <si>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</si>
  <si>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</si>
  <si>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</si>
  <si>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</si>
  <si>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</si>
  <si>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</si>
  <si>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</si>
  <si>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</si>
  <si>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</si>
  <si>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</si>
  <si>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</si>
  <si>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</si>
  <si>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</si>
  <si>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</si>
  <si>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</si>
  <si>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</si>
  <si>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</si>
  <si>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</si>
  <si>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</si>
  <si>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</si>
  <si>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</si>
  <si>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</si>
  <si>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</si>
  <si>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</si>
  <si>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</si>
  <si>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</si>
  <si>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</si>
  <si>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</si>
  <si>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</si>
  <si>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</si>
  <si>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</si>
  <si>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</si>
  <si>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</si>
  <si>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</si>
  <si>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</si>
  <si>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</si>
  <si>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</si>
  <si>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</si>
  <si>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</si>
  <si>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</si>
  <si>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</si>
  <si>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</si>
  <si>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</si>
  <si>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</si>
  <si>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</si>
  <si>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</si>
  <si>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</si>
  <si>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</si>
  <si>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</si>
  <si>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</si>
  <si>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</si>
  <si>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</si>
  <si>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</si>
  <si>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</si>
  <si>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</si>
  <si>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</si>
  <si>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</si>
  <si>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</si>
  <si>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</si>
  <si>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</si>
  <si>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</si>
  <si>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</si>
  <si>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</si>
  <si>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</si>
  <si>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</si>
  <si>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</si>
  <si>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</si>
  <si>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</si>
  <si>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</si>
  <si>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</si>
  <si>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</si>
  <si>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</si>
  <si>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</si>
  <si>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</si>
  <si>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</si>
  <si>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</si>
  <si>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</si>
  <si>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</si>
  <si>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</si>
  <si>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</si>
  <si>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</si>
  <si>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</si>
  <si>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</si>
  <si>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</si>
  <si>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</si>
  <si>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</si>
  <si>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</si>
  <si>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</si>
  <si>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</si>
  <si>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</si>
  <si>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</si>
  <si>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</si>
  <si>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</si>
  <si>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</si>
  <si>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</si>
  <si>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</si>
  <si>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</si>
  <si>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</si>
  <si>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</si>
  <si>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</si>
  <si>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</si>
  <si>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</si>
  <si>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</si>
  <si>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</si>
  <si>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</si>
  <si>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</si>
  <si>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</si>
  <si>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</si>
  <si>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</si>
  <si>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</si>
  <si>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</si>
  <si>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</si>
  <si>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</si>
  <si>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</si>
  <si>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</si>
  <si>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</si>
  <si>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</si>
  <si>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</si>
  <si>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</si>
  <si>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</si>
  <si>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</si>
  <si>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</si>
  <si>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</si>
  <si>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</si>
  <si>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</si>
  <si>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</si>
  <si>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</si>
  <si>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</si>
  <si>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</si>
  <si>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</si>
  <si>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</si>
  <si>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</si>
  <si>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</si>
  <si>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</si>
  <si>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</si>
  <si>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</si>
  <si>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</si>
  <si>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</si>
  <si>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</si>
  <si>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</si>
  <si>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</si>
  <si>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</si>
  <si>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</si>
  <si>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</si>
  <si>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</si>
  <si>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</si>
  <si>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</si>
  <si>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</si>
  <si>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</si>
  <si>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</si>
  <si>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</si>
  <si>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</si>
  <si>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</si>
  <si>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</si>
  <si>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</si>
  <si>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</si>
  <si>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</si>
  <si>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</si>
  <si>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</si>
  <si>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</si>
  <si>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</si>
  <si>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</si>
  <si>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</si>
  <si>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</si>
  <si>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</si>
  <si>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</si>
  <si>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</si>
  <si>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</si>
  <si>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</si>
  <si>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</si>
  <si>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</si>
  <si>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</si>
  <si>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</si>
  <si>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</si>
  <si>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</si>
  <si>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</si>
  <si>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</si>
  <si>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</si>
  <si>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</si>
  <si>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</si>
  <si>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</si>
  <si>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</si>
  <si>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</si>
  <si>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</si>
  <si>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</si>
  <si>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</si>
  <si>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</si>
  <si>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</si>
  <si>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</si>
  <si>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</si>
  <si>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</si>
  <si>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</si>
  <si>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</si>
  <si>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</si>
  <si>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</si>
  <si>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</si>
  <si>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</si>
  <si>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</si>
  <si>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</si>
  <si>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</si>
  <si>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</si>
  <si>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</si>
  <si>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</si>
  <si>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</si>
  <si>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</si>
  <si>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</si>
  <si>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</si>
  <si>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</si>
  <si>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</si>
  <si>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</si>
  <si>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</si>
  <si>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</si>
  <si>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</si>
  <si>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</si>
  <si>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</si>
  <si>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</si>
  <si>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</si>
  <si>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</si>
  <si>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</si>
  <si>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</si>
  <si>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</si>
  <si>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</si>
  <si>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</si>
  <si>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</si>
  <si>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</si>
  <si>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</si>
  <si>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</si>
  <si>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</si>
  <si>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</si>
  <si>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</si>
  <si>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</si>
  <si>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</si>
  <si>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</si>
  <si>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</si>
  <si>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</si>
  <si>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</si>
  <si>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</si>
  <si>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H2A Version 2.1 updates</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</si>
  <si>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</si>
  <si>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</si>
  <si>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</si>
  <si>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</si>
  <si>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</si>
  <si>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</si>
  <si>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</si>
  <si>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</si>
  <si>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</si>
  <si>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</si>
  <si>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</si>
  <si>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</si>
  <si>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</si>
  <si>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</si>
  <si>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</si>
  <si>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</si>
  <si>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</si>
  <si>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</si>
  <si>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</si>
  <si>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</si>
  <si>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</si>
  <si>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</si>
  <si>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</si>
  <si>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</si>
  <si>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</si>
  <si>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</si>
  <si>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</si>
  <si>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</si>
  <si>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</si>
  <si>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</si>
  <si>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</si>
  <si>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</si>
  <si>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</si>
  <si>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</si>
  <si>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</si>
  <si>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</si>
  <si>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</si>
  <si>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</si>
  <si>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</si>
  <si>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</si>
  <si>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</si>
  <si>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</si>
  <si>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</si>
  <si>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</si>
  <si>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</si>
  <si>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</si>
  <si>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</si>
  <si>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</si>
  <si>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</si>
  <si>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</si>
  <si>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</si>
  <si>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</si>
  <si>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</si>
  <si>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</si>
  <si>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</si>
  <si>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</si>
  <si>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</si>
  <si>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</si>
  <si>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</si>
  <si>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</si>
  <si>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</si>
  <si>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</si>
  <si>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</si>
  <si>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</si>
  <si>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</si>
  <si>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</si>
  <si>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</si>
  <si>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</si>
  <si>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</si>
  <si>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</si>
  <si>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</si>
  <si>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</si>
  <si>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</si>
  <si>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</si>
  <si>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</si>
  <si>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</si>
  <si>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</si>
  <si>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</si>
  <si>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</si>
  <si>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</si>
  <si>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</si>
  <si>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</si>
  <si>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</si>
  <si>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</si>
  <si>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</si>
  <si>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</si>
  <si>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</si>
  <si>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</si>
  <si>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</si>
  <si>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</si>
  <si>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</si>
  <si>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</si>
  <si>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</si>
  <si>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</si>
  <si>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</si>
  <si>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</si>
  <si>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</si>
  <si>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</si>
  <si>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</si>
  <si>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</si>
  <si>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</si>
  <si>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</si>
  <si>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</si>
  <si>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</si>
  <si>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</si>
  <si>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</si>
  <si>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</si>
  <si>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</si>
  <si>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</si>
  <si>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</si>
  <si>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</si>
  <si>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</si>
  <si>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</si>
  <si>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</si>
  <si>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</si>
  <si>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</si>
  <si>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</si>
  <si>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</si>
  <si>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</si>
  <si>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</si>
  <si>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</si>
  <si>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</si>
  <si>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</si>
  <si>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</si>
  <si>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</si>
  <si>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</si>
  <si>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</si>
  <si>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</si>
  <si>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</si>
  <si>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</si>
  <si>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</si>
  <si>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</si>
  <si>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</si>
  <si>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</si>
  <si>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</si>
  <si>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</si>
  <si>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</si>
  <si>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</si>
  <si>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</si>
  <si>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</si>
  <si>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</si>
  <si>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</si>
  <si>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</si>
  <si>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</si>
  <si>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</si>
  <si>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</si>
  <si>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</si>
  <si>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</si>
  <si>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</si>
  <si>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</si>
  <si>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</si>
  <si>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</si>
  <si>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</si>
  <si>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</si>
  <si>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</si>
  <si>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</si>
  <si>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</si>
  <si>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</si>
  <si>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</si>
  <si>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</si>
  <si>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</si>
  <si>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</si>
  <si>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</si>
  <si>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</si>
  <si>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</si>
  <si>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</si>
  <si>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</si>
  <si>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</si>
  <si>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</si>
  <si>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</si>
  <si>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</si>
  <si>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</si>
  <si>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</si>
  <si>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</si>
  <si>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</si>
  <si>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</si>
  <si>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</si>
  <si>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</si>
  <si>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</si>
  <si>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</si>
  <si>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</si>
  <si>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</si>
  <si>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</si>
  <si>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</si>
  <si>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</si>
  <si>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</si>
  <si>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</si>
  <si>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</si>
  <si>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</si>
  <si>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</si>
  <si>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</si>
  <si>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</si>
  <si>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</si>
  <si>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</si>
  <si>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</si>
  <si>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</si>
  <si>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</si>
  <si>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</si>
  <si>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</si>
  <si>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</si>
  <si>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</si>
  <si>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</si>
  <si>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</si>
  <si>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</si>
  <si>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</si>
  <si>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</si>
  <si>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</si>
  <si>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</si>
  <si>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</si>
  <si>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</si>
  <si>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</si>
  <si>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</si>
  <si>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</si>
  <si>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</si>
  <si>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</si>
  <si>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</si>
  <si>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</si>
  <si>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</si>
  <si>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</si>
  <si>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</si>
  <si>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</si>
  <si>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</si>
  <si>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</si>
  <si>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</si>
  <si>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</si>
  <si>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</si>
  <si>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</si>
  <si>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</si>
  <si>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</si>
  <si>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</si>
  <si>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</si>
  <si>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</si>
  <si>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</si>
  <si>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</si>
  <si>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</si>
  <si>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</si>
  <si>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</si>
  <si>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</si>
  <si>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</si>
  <si>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</si>
  <si>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</si>
  <si>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</si>
  <si>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</si>
  <si>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</si>
  <si>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</si>
  <si>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</si>
  <si>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</si>
  <si>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</si>
  <si>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</si>
  <si>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</si>
  <si>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</si>
  <si>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</si>
  <si>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</si>
  <si>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</si>
  <si>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</si>
  <si>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</si>
  <si>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</si>
  <si>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</si>
  <si>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</si>
  <si>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</si>
  <si>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</si>
  <si>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</si>
  <si>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</si>
  <si>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</si>
  <si>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</si>
  <si>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</si>
  <si>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</si>
  <si>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</si>
  <si>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</si>
  <si>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</si>
  <si>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</si>
  <si>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</si>
  <si>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</si>
  <si>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</si>
  <si>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</si>
  <si>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</si>
  <si>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</si>
  <si>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</si>
  <si>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</si>
  <si>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</si>
  <si>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</si>
  <si>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</si>
  <si>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</si>
  <si>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</si>
  <si>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</si>
  <si>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</si>
  <si>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</si>
  <si>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</si>
  <si>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</si>
  <si>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</si>
  <si>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</si>
  <si>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</si>
  <si>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</si>
  <si>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</si>
  <si>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</si>
  <si>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</si>
  <si>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</si>
  <si>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</si>
  <si>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</si>
  <si>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</si>
  <si>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</si>
  <si>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</si>
  <si>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</si>
  <si>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</si>
  <si>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</si>
  <si>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</si>
  <si>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</si>
  <si>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</si>
  <si>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</si>
  <si>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</si>
  <si>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</si>
  <si>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</si>
  <si>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</si>
  <si>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</si>
  <si>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</si>
  <si>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</si>
  <si>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</si>
  <si>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</si>
  <si>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</si>
  <si>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</si>
  <si>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</si>
  <si>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</si>
  <si>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</si>
  <si>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</si>
  <si>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</si>
  <si>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</si>
  <si>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</si>
  <si>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</si>
  <si>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</si>
  <si>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</si>
  <si>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</si>
  <si>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</si>
  <si>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</si>
  <si>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</si>
  <si>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</si>
  <si>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</si>
  <si>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</si>
  <si>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</si>
  <si>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</si>
  <si>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</si>
  <si>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</si>
  <si>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</si>
  <si>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</si>
  <si>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</si>
  <si>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</si>
  <si>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</si>
  <si>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</si>
  <si>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</si>
  <si>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</si>
  <si>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</si>
  <si>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</si>
  <si>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</si>
  <si>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</si>
  <si>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</si>
  <si>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</si>
  <si>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</si>
  <si>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</si>
  <si>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</si>
  <si>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</si>
  <si>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</si>
  <si>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</si>
  <si>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</si>
  <si>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</si>
  <si>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</si>
  <si>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</si>
  <si>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</si>
  <si>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</si>
  <si>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</si>
  <si>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</si>
  <si>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</si>
  <si>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</si>
  <si>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</si>
  <si>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</si>
  <si>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</si>
  <si>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</si>
  <si>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</si>
  <si>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</si>
  <si>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</si>
  <si>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</si>
  <si>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</si>
  <si>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</si>
  <si>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</si>
  <si>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</si>
  <si>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</si>
  <si>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</si>
  <si>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</si>
  <si>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</si>
  <si>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</si>
  <si>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</si>
  <si>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</si>
  <si>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</si>
  <si>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</si>
  <si>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</si>
  <si>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</si>
  <si>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</si>
  <si>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</si>
  <si>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</si>
  <si>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</si>
  <si>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</si>
  <si>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</si>
  <si>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</si>
  <si>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</si>
  <si>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</si>
  <si>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</si>
  <si>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</si>
  <si>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</si>
  <si>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</si>
  <si>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</si>
  <si>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</si>
  <si>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</si>
  <si>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</si>
  <si>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</si>
  <si>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</si>
  <si>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</si>
  <si>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</si>
  <si>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</si>
  <si>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</si>
  <si>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</si>
  <si>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</si>
  <si>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</si>
  <si>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</si>
  <si>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</si>
  <si>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</si>
  <si>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</si>
  <si>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</si>
  <si>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</si>
  <si>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</si>
  <si>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</si>
  <si>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</si>
  <si>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</si>
  <si>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</si>
  <si>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</si>
  <si>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</si>
  <si>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</si>
  <si>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</si>
  <si>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</si>
  <si>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</si>
  <si>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</si>
  <si>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</si>
  <si>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</si>
  <si>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</si>
  <si>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</si>
  <si>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</si>
  <si>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</si>
  <si>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</si>
  <si>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</si>
  <si>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</si>
  <si>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</si>
  <si>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</si>
  <si>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</si>
  <si>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</si>
  <si>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</si>
  <si>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</si>
  <si>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</si>
  <si>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</si>
  <si>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</si>
  <si>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</si>
  <si>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</si>
  <si>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</si>
  <si>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</si>
  <si>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</si>
  <si>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</si>
  <si>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</si>
  <si>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</si>
  <si>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</si>
  <si>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</si>
  <si>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</si>
  <si>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H2A Version 3</t>
  </si>
  <si>
    <t>M. Penev</t>
  </si>
  <si>
    <t>Case was ported to H2A version 3</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</si>
  <si>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</si>
  <si>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</si>
  <si>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</si>
  <si>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</si>
  <si>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</si>
  <si>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</si>
  <si>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</si>
  <si>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</si>
  <si>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</si>
  <si>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</si>
  <si>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</si>
  <si>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</si>
  <si>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</si>
  <si>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</si>
  <si>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</si>
  <si>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</si>
  <si>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</si>
  <si>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</si>
  <si>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</si>
  <si>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</si>
  <si>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</si>
  <si>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</si>
  <si>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</si>
  <si>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</si>
  <si>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</si>
  <si>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</si>
  <si>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</si>
  <si>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</si>
  <si>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</si>
  <si>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</si>
  <si>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</si>
  <si>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</si>
  <si>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</si>
  <si>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</si>
  <si>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</si>
  <si>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</si>
  <si>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</si>
  <si>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</si>
  <si>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</si>
  <si>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</si>
  <si>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</si>
  <si>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</si>
  <si>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</si>
  <si>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</si>
  <si>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</si>
  <si>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</si>
  <si>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</si>
  <si>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</si>
  <si>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</si>
  <si>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NREL - updated for release</t>
  </si>
  <si>
    <t>utility</t>
  </si>
  <si>
    <t>Price Conversion Factor (GJ/mmBtu)</t>
  </si>
  <si>
    <t>Price in Startup Year ($2016)/mmBtu</t>
  </si>
  <si>
    <t>Usage (mmBtu/kg H2)</t>
  </si>
  <si>
    <t>Usage (kWh/kg H2)</t>
  </si>
  <si>
    <t>NREL - G. Saur</t>
  </si>
  <si>
    <t>Fixed Feedstock cost to reference AEO 2009 reference case</t>
  </si>
  <si>
    <t>utility Industrial Electricity Usage</t>
  </si>
  <si>
    <t>utilityIndustrial_Electricity_Usage</t>
  </si>
  <si>
    <t>NREL - D. Steward</t>
  </si>
  <si>
    <t>Ported to new model structure</t>
  </si>
  <si>
    <t>H2A version 2</t>
  </si>
  <si>
    <t>Tornado chart</t>
  </si>
  <si>
    <t>H2A version 1</t>
  </si>
  <si>
    <t>Mike Rutkowski</t>
  </si>
  <si>
    <t>MD Rutkowski, Revise Capital and Feedstock $</t>
  </si>
  <si>
    <t>MD Rutkowski</t>
  </si>
  <si>
    <t>NJ Kuehn</t>
  </si>
  <si>
    <t>US DOE/NETL MD Rutkowski</t>
  </si>
  <si>
    <t>None</t>
  </si>
  <si>
    <t>Standard fossil energy sources</t>
  </si>
  <si>
    <t>Steam reformer, quench, shift, PSA</t>
  </si>
  <si>
    <t>Steam export</t>
  </si>
  <si>
    <t>Mid USA</t>
  </si>
  <si>
    <t>Natural gas is fed to the plant from the pipeline at a pressure of 450 psia.  The gas is generally sulfur-free, but odorizers with mercaptans must be cleaned from the gas to prevent contamination of the reformer catalyst.  The desulfurized natural gas feedstock is mixed with process steam to be reacted over a nickel based catalyst contained inside of a system of high alloy steel tubes.  The reforming reaction is strongly endothermic, and the metallurgy of the tubes usually limits the reaction temperature to 1400-1700oF.  The flue gas path of the fired reformer is integrated with additional boiler surfaces to produce about 700,000 lb/hour steam.  Of this, about 450,000 lb/hour is superheated to 450 psia and 750°F, to be added to the incoming natural gas.  Additional steam from the boiler is sent off-site.  After the reformer, the process gas mixture of CO and H2 passes through a heat recovery step and is fed into a water gas shift reactor to produce additional H2.</t>
  </si>
  <si>
    <t>The Pressure Swing Adsorption (PSA) process is used for hydrogen purification, based on the ability to produce high purity hydrogen, low amounts of CO and CO2 and ease of operation.  Shifted gas is fed directly to the PSA unit where hydrogen is purified up to approximately 99.6%. based on the ability to produce high purity hydrogen, low amounts of CO and CO2 and ease of operation.  Shifted gas is fed directly to the PSA unit where hydrogen is purified up to approximately 99.6%.</t>
  </si>
  <si>
    <t>Corporate ownership, 100% equity</t>
  </si>
  <si>
    <t>Hydrogen from Natural Gas Reforming, November 2003, DOE/FE/NETL</t>
  </si>
  <si>
    <t xml:space="preserve">  Energy efficiencies for individual process steps (add rows as appropriate)</t>
  </si>
  <si>
    <t>Basis</t>
  </si>
  <si>
    <t>Reference</t>
  </si>
  <si>
    <t>SMR Efficiency</t>
  </si>
  <si>
    <t>LHV efficiency of energy in gasifier product gas coming out of gasifier divided by energy in coal fed to gasifier.</t>
  </si>
  <si>
    <t>Aspen Plus® Model</t>
  </si>
  <si>
    <t>Shift Reactor Conversion</t>
  </si>
  <si>
    <t>Molar percent of CO converted to CO2</t>
  </si>
  <si>
    <t>Haldor Topsoe commercial catalyst spec.</t>
  </si>
  <si>
    <t>PSA Hydrogen Separation</t>
  </si>
  <si>
    <t>Percent hydrogen rercovered from PSA feed gas</t>
  </si>
  <si>
    <t>UOP commercial PSA design spec.</t>
  </si>
  <si>
    <t>STREAM NUMBER</t>
  </si>
  <si>
    <t>Natural Gas</t>
  </si>
  <si>
    <t>Air</t>
  </si>
  <si>
    <t>Stack Gas</t>
  </si>
  <si>
    <t>Mole Fraction</t>
  </si>
  <si>
    <t xml:space="preserve"> </t>
  </si>
  <si>
    <t xml:space="preserve">  Ar                 </t>
  </si>
  <si>
    <t xml:space="preserve">  CH4</t>
  </si>
  <si>
    <t xml:space="preserve">  C2H6</t>
  </si>
  <si>
    <t xml:space="preserve">  CO2</t>
  </si>
  <si>
    <t xml:space="preserve">  H2</t>
  </si>
  <si>
    <t xml:space="preserve">  H2O</t>
  </si>
  <si>
    <t xml:space="preserve">  N2</t>
  </si>
  <si>
    <t xml:space="preserve">  O2</t>
  </si>
  <si>
    <t>NOx</t>
  </si>
  <si>
    <t>----</t>
  </si>
  <si>
    <t>20 ppm</t>
  </si>
  <si>
    <t>Total Flow (lbmol/hr)</t>
  </si>
  <si>
    <t>Total Flow (lb/hr)</t>
  </si>
  <si>
    <t>Temperature (°F)</t>
  </si>
  <si>
    <t>Pressure (psia)</t>
  </si>
  <si>
    <t>Process Plant Equipment</t>
  </si>
  <si>
    <t>Balance of Plant and Offsites</t>
  </si>
  <si>
    <t>SCR NOx Control on Stack</t>
  </si>
  <si>
    <t>Steam reforming of hydrocarbons continues to be the most efficient, economical, and widely used process for production of hydrogen and hydrogen/carbon monoxide mixtures.  The process involves a catalytic conversion of the hydrocarbon and steam to hydrogen and carbon oxides.  Since the process works only with light hydrocarbons that can be vaporized completely without carbon formation, the feedstocks used range from methane (natural gas) to naphtha to No. 2 fuel oil.</t>
  </si>
  <si>
    <t>Material and energy balances in Aspen Plus®; Installed equipment costing based on grass roots estimate of commercial offering; O&amp;M collaborated with KIC</t>
  </si>
  <si>
    <t>H2A Version 1 Case Study - h2a_central_natural_gas_longer_term_final.xls, Excel file developed by M. Rutkowski</t>
  </si>
  <si>
    <t>Central Natural Gas Reforming without CO2 Capture and Sequestration - Future Timeframe</t>
  </si>
  <si>
    <t>in 2016 $/GJ, LHV</t>
  </si>
  <si>
    <t>NOTE: AEO Prices prior to 2015 were augmented with AEO historical data</t>
  </si>
  <si>
    <t>Enter 0 to enable constant outstanding debt.</t>
  </si>
  <si>
    <t>H2A Hydrogen Production Cash Flow Analysis Tool v3.2018</t>
  </si>
  <si>
    <t>Future Central Hydrogen from Natural Gas without CO2 Capture and Sequestration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</si>
</sst>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4"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10"/>
      <color theme="3" tint="0.59999389629810485"/>
      <name val="Arial"/>
      <family val="2"/>
    </font>
    <font>
      <b/>
      <sz val="10"/>
      <color theme="3" tint="0.59999389629810485"/>
      <name val="Arial"/>
      <family val="2"/>
    </font>
  </fonts>
  <fills count="27">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7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718">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6" fontId="1" fillId="5" borderId="99" xfId="0" applyNumberFormat="1" applyFont="1" applyFill="1" applyBorder="1" applyAlignment="1" applyProtection="1">
      <alignment wrapText="1"/>
      <protection locked="0"/>
    </xf>
    <xf numFmtId="6" fontId="1" fillId="5" borderId="100" xfId="0" applyNumberFormat="1" applyFont="1" applyFill="1" applyBorder="1" applyAlignment="1" applyProtection="1">
      <alignment wrapText="1"/>
      <protection locked="0"/>
    </xf>
    <xf numFmtId="42" fontId="1" fillId="5" borderId="100" xfId="0" applyNumberFormat="1" applyFont="1" applyFill="1" applyBorder="1" applyAlignment="1" applyProtection="1">
      <alignment wrapText="1"/>
      <protection locked="0"/>
    </xf>
    <xf numFmtId="14" fontId="1" fillId="6" borderId="136"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14" fontId="1" fillId="6" borderId="145" xfId="0" applyNumberFormat="1" applyFont="1" applyFill="1" applyBorder="1" applyAlignment="1" applyProtection="1">
      <alignment wrapText="1"/>
      <protection locked="0"/>
    </xf>
    <xf numFmtId="14" fontId="1" fillId="6" borderId="101" xfId="0" applyNumberFormat="1" applyFont="1" applyFill="1" applyBorder="1" applyAlignment="1" applyProtection="1">
      <alignment wrapText="1"/>
      <protection locked="0"/>
    </xf>
    <xf numFmtId="0" fontId="1" fillId="6" borderId="37" xfId="0" applyFont="1" applyFill="1" applyBorder="1" applyAlignment="1" applyProtection="1">
      <alignment wrapText="1"/>
      <protection locked="0"/>
    </xf>
    <xf numFmtId="0" fontId="1" fillId="6" borderId="30" xfId="0" applyFont="1" applyFill="1" applyBorder="1" applyAlignment="1" applyProtection="1">
      <alignment wrapText="1"/>
      <protection locked="0"/>
    </xf>
    <xf numFmtId="0" fontId="13" fillId="0" borderId="148" xfId="0" applyFont="1" applyFill="1" applyBorder="1" applyAlignment="1" applyProtection="1">
      <alignment horizontal="center" vertical="top" wrapText="1"/>
      <protection locked="0"/>
    </xf>
    <xf numFmtId="0" fontId="3" fillId="0" borderId="149" xfId="0" applyFont="1" applyBorder="1" applyAlignment="1" applyProtection="1">
      <alignment horizontal="center" vertical="top" wrapText="1"/>
      <protection locked="0"/>
    </xf>
    <xf numFmtId="0" fontId="3" fillId="0" borderId="150" xfId="0" applyFont="1" applyBorder="1" applyAlignment="1" applyProtection="1">
      <alignment horizontal="center" vertical="top" wrapText="1"/>
      <protection locked="0"/>
    </xf>
    <xf numFmtId="0" fontId="1" fillId="0" borderId="30" xfId="0" applyFont="1" applyFill="1" applyBorder="1" applyAlignment="1" applyProtection="1">
      <alignment horizontal="left" vertical="top" wrapText="1"/>
      <protection locked="0"/>
    </xf>
    <xf numFmtId="9" fontId="1" fillId="6" borderId="30" xfId="0" applyNumberFormat="1" applyFont="1" applyFill="1" applyBorder="1" applyAlignment="1" applyProtection="1">
      <alignment horizontal="left" vertical="top" wrapText="1"/>
      <protection locked="0"/>
    </xf>
    <xf numFmtId="0" fontId="1" fillId="6" borderId="30" xfId="0" applyFont="1" applyFill="1" applyBorder="1" applyAlignment="1" applyProtection="1">
      <alignment horizontal="left" vertical="top" wrapText="1"/>
      <protection locked="0"/>
    </xf>
    <xf numFmtId="0" fontId="0" fillId="6" borderId="8" xfId="0" applyFill="1" applyBorder="1" applyAlignment="1" applyProtection="1">
      <alignment horizontal="left" vertical="top" wrapText="1"/>
      <protection locked="0"/>
    </xf>
    <xf numFmtId="0" fontId="1" fillId="0" borderId="8" xfId="0" applyFont="1" applyFill="1" applyBorder="1" applyAlignment="1" applyProtection="1">
      <alignment horizontal="left" vertical="top" wrapText="1"/>
      <protection locked="0"/>
    </xf>
    <xf numFmtId="9" fontId="1" fillId="6" borderId="8" xfId="0" applyNumberFormat="1" applyFont="1" applyFill="1" applyBorder="1" applyAlignment="1" applyProtection="1">
      <alignment horizontal="left" vertical="top" wrapText="1"/>
      <protection locked="0"/>
    </xf>
    <xf numFmtId="0" fontId="1" fillId="6" borderId="8" xfId="0" applyFont="1" applyFill="1" applyBorder="1" applyAlignment="1" applyProtection="1">
      <alignment horizontal="left" vertical="top" wrapText="1"/>
      <protection locked="0"/>
    </xf>
    <xf numFmtId="0" fontId="3" fillId="7" borderId="57" xfId="0" applyFont="1" applyFill="1" applyBorder="1"/>
    <xf numFmtId="0" fontId="3" fillId="7" borderId="57" xfId="0" applyFont="1" applyFill="1" applyBorder="1" applyAlignment="1">
      <alignment horizontal="center"/>
    </xf>
    <xf numFmtId="0" fontId="3" fillId="0" borderId="146" xfId="0" applyFont="1" applyFill="1" applyBorder="1"/>
    <xf numFmtId="0" fontId="3" fillId="0" borderId="146" xfId="0" applyFont="1" applyFill="1" applyBorder="1" applyAlignment="1">
      <alignment horizontal="center"/>
    </xf>
    <xf numFmtId="0" fontId="0" fillId="0" borderId="141" xfId="0" applyBorder="1"/>
    <xf numFmtId="167" fontId="0" fillId="0" borderId="141" xfId="0" applyNumberFormat="1" applyBorder="1" applyAlignment="1">
      <alignment horizontal="center"/>
    </xf>
    <xf numFmtId="167" fontId="0" fillId="0" borderId="141" xfId="0" quotePrefix="1" applyNumberFormat="1" applyBorder="1" applyAlignment="1">
      <alignment horizontal="center"/>
    </xf>
    <xf numFmtId="3" fontId="0" fillId="0" borderId="141" xfId="0" applyNumberFormat="1" applyBorder="1" applyAlignment="1">
      <alignment horizontal="center"/>
    </xf>
    <xf numFmtId="1" fontId="0" fillId="0" borderId="141" xfId="0" applyNumberFormat="1" applyBorder="1" applyAlignment="1">
      <alignment horizontal="center"/>
    </xf>
    <xf numFmtId="0" fontId="0" fillId="0" borderId="147" xfId="0" applyBorder="1"/>
    <xf numFmtId="166" fontId="0" fillId="0" borderId="147" xfId="0" applyNumberFormat="1" applyBorder="1" applyAlignment="1">
      <alignment horizontal="center"/>
    </xf>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82" fillId="0" borderId="0" xfId="0" applyFont="1"/>
    <xf numFmtId="0" fontId="83" fillId="0" borderId="0" xfId="0" applyFont="1"/>
    <xf numFmtId="0" fontId="82" fillId="0" borderId="161" xfId="0" applyFont="1" applyBorder="1"/>
    <xf numFmtId="0" fontId="82" fillId="0" borderId="129" xfId="0" applyFont="1" applyBorder="1"/>
    <xf numFmtId="0" fontId="82" fillId="0" borderId="177" xfId="0" applyFont="1" applyBorder="1"/>
    <xf numFmtId="0" fontId="82" fillId="0" borderId="44" xfId="0" applyFont="1" applyBorder="1"/>
    <xf numFmtId="0" fontId="82" fillId="0" borderId="0" xfId="0" applyFont="1" applyBorder="1"/>
    <xf numFmtId="0" fontId="82" fillId="0" borderId="178" xfId="0" applyFont="1" applyBorder="1"/>
    <xf numFmtId="0" fontId="82" fillId="0" borderId="142" xfId="0" applyFont="1" applyBorder="1"/>
    <xf numFmtId="0" fontId="82" fillId="0" borderId="140" xfId="0" applyFont="1" applyBorder="1"/>
    <xf numFmtId="0" fontId="82" fillId="0" borderId="29" xfId="0" applyFont="1" applyBorder="1"/>
    <xf numFmtId="173" fontId="17" fillId="0" borderId="12" xfId="16" applyFont="1" applyBorder="1" applyAlignment="1" applyProtection="1"/>
    <xf numFmtId="0" fontId="0" fillId="18" borderId="0" xfId="0" applyFill="1"/>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188" fontId="1" fillId="5" borderId="62"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11" fillId="0" borderId="0" xfId="0" applyFont="1" applyFill="1" applyBorder="1" applyAlignment="1">
      <alignment horizontal="left" vertic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Border="1" applyAlignment="1">
      <alignment horizontal="left" vertical="top" wrapText="1"/>
    </xf>
    <xf numFmtId="0" fontId="11" fillId="6" borderId="0" xfId="0" quotePrefix="1"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4" borderId="4"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 fillId="6" borderId="55" xfId="0" applyFont="1" applyFill="1" applyBorder="1" applyAlignment="1">
      <alignment horizontal="left" vertical="top" wrapText="1"/>
    </xf>
    <xf numFmtId="0" fontId="1" fillId="6" borderId="10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0" fillId="6" borderId="108" xfId="0"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7" fillId="0" borderId="0"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3" fillId="0" borderId="0" xfId="0" applyFont="1" applyFill="1" applyBorder="1" applyAlignment="1">
      <alignment horizontal="center"/>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Other Variable Operating Costs</c:v>
                </c:pt>
                <c:pt idx="6">
                  <c:v>Fixed Operating Cost</c:v>
                </c:pt>
                <c:pt idx="7">
                  <c:v>Initial Equity Depreciable Capital</c:v>
                </c:pt>
                <c:pt idx="8">
                  <c:v>Debt Interest</c:v>
                </c:pt>
                <c:pt idx="9">
                  <c:v>Cash for Working Capital Reserve</c:v>
                </c:pt>
                <c:pt idx="10">
                  <c:v>Yearly Replacement Costs</c:v>
                </c:pt>
                <c:pt idx="11">
                  <c:v>Taxes</c:v>
                </c:pt>
                <c:pt idx="12">
                  <c:v>Principal Payment</c:v>
                </c:pt>
                <c:pt idx="13">
                  <c:v>Decommissioning Costs</c:v>
                </c:pt>
                <c:pt idx="14">
                  <c:v>Other Non-Depreciable Capital Costs</c:v>
                </c:pt>
                <c:pt idx="15">
                  <c:v>Other Raw Material Cost</c:v>
                </c:pt>
              </c:strCache>
            </c:strRef>
          </c:cat>
          <c:val>
            <c:numRef>
              <c:f>'Tornado Charts &amp; Risk Analysis'!$I$155:$I$170</c:f>
              <c:numCache>
                <c:formatCode>_("$"* #,##0.00_);_("$"* \(#,##0.00\);_("$"* "-"??_);_(@_)</c:formatCode>
                <c:ptCount val="16"/>
                <c:pt idx="0">
                  <c:v>1.3158315472358189</c:v>
                </c:pt>
                <c:pt idx="1">
                  <c:v>6.0102079727676302E-4</c:v>
                </c:pt>
                <c:pt idx="2">
                  <c:v>0</c:v>
                </c:pt>
                <c:pt idx="4">
                  <c:v>1.0323787971615324</c:v>
                </c:pt>
                <c:pt idx="5">
                  <c:v>9.7719295943352394E-2</c:v>
                </c:pt>
                <c:pt idx="6">
                  <c:v>6.0570412267480507E-2</c:v>
                </c:pt>
                <c:pt idx="7">
                  <c:v>5.5266169313149496E-2</c:v>
                </c:pt>
                <c:pt idx="8">
                  <c:v>3.6306116293509466E-2</c:v>
                </c:pt>
                <c:pt idx="9">
                  <c:v>1.6240608594085239E-2</c:v>
                </c:pt>
                <c:pt idx="10">
                  <c:v>7.7619458215004659E-3</c:v>
                </c:pt>
                <c:pt idx="11">
                  <c:v>7.5096238613796707E-3</c:v>
                </c:pt>
                <c:pt idx="12">
                  <c:v>1.6309535777419199E-3</c:v>
                </c:pt>
                <c:pt idx="13">
                  <c:v>5.9924728859570725E-4</c:v>
                </c:pt>
                <c:pt idx="14">
                  <c:v>4.4939791076757435E-4</c:v>
                </c:pt>
                <c:pt idx="15">
                  <c:v>0</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1.3158315472358189</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6.0102079727676302E-4</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1.0323787971615324</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Other Variable Operating Costs</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9.7719295943352394E-2</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Fixed Operating Cost</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6.0570412267480507E-2</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Initial Equity Depreciable Capital</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5.5266169313149496E-2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3.6306116293509466E-2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Cash for Working Capital Reserve</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1.6240608594085239E-2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Yearly Replacement Costs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7.7619458215004659E-3</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Taxes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7.5096238613796707E-3</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Principal Payment</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1.6309535777419199E-3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Decommissioning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5.9924728859570725E-4</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4.4939791076757435E-4</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Other Raw Material Cost</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0</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1.3164325680330957</c:v>
                </c:pt>
                <c:pt idx="1">
                  <c:v>1.3164325680330946</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(95%, 90%, 86%)</c:v>
                </c:pt>
                <c:pt idx="2">
                  <c:v>Total Capital Investment
($177,186K, $186,511K, $195,837K) </c:v>
                </c:pt>
                <c:pt idx="3">
                  <c:v>Plant Design Capacity (kg of H2/day)
(398,356, 379,387, 360,418) </c:v>
                </c:pt>
                <c:pt idx="4">
                  <c:v>Total Fixed Operating Cost
($7,029K, $7,399K, $7,769K) </c:v>
                </c:pt>
                <c:pt idx="5">
                  <c:v>After-tax Real IRR
(8%, 8%, 8%)</c:v>
                </c:pt>
                <c:pt idx="6">
                  <c:v>Utilities Consumption (% of baseline)
(95%, 100%, 105%)</c:v>
                </c:pt>
              </c:strCache>
            </c:strRef>
          </c:cat>
          <c:val>
            <c:numRef>
              <c:f>'Tornado Charts &amp; Risk Analysis'!$H$101:$H$107</c:f>
              <c:numCache>
                <c:formatCode>General</c:formatCode>
                <c:ptCount val="7"/>
                <c:pt idx="0">
                  <c:v>1.2632645525367054</c:v>
                </c:pt>
                <c:pt idx="1">
                  <c:v>1.3067736916690487</c:v>
                </c:pt>
                <c:pt idx="2">
                  <c:v>1.3095838188313211</c:v>
                </c:pt>
                <c:pt idx="3">
                  <c:v>1.3122440885996933</c:v>
                </c:pt>
                <c:pt idx="4">
                  <c:v>1.3127473710850819</c:v>
                </c:pt>
                <c:pt idx="5">
                  <c:v>1.3128499129124052</c:v>
                </c:pt>
                <c:pt idx="6">
                  <c:v>1.3133682561254809</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($177,186K, $186,511K, $195,837K) </c:v>
                </c:pt>
                <c:pt idx="3">
                  <c:v>Plant Design Capacity (kg of H2/day)
(398,356, 379,387, 360,418) </c:v>
                </c:pt>
                <c:pt idx="4">
                  <c:v>Total Fixed Operating Cost
($7,029K, $7,399K, $7,769K) </c:v>
                </c:pt>
                <c:pt idx="5">
                  <c:v>After-tax Real IRR
(8%, 8%, 8%)</c:v>
                </c:pt>
                <c:pt idx="6">
                  <c:v>Utilities Consumption (% of baseline)
(95%, 100%, 105%)</c:v>
                </c:pt>
              </c:strCache>
            </c:strRef>
          </c:cat>
          <c:val>
            <c:numRef>
              <c:f>'Tornado Charts &amp; Risk Analysis'!$I$101:$I$107</c:f>
              <c:numCache>
                <c:formatCode>General</c:formatCode>
                <c:ptCount val="7"/>
                <c:pt idx="0">
                  <c:v>5.2566994699113412E-2</c:v>
                </c:pt>
                <c:pt idx="1">
                  <c:v>9.0578555667701899E-3</c:v>
                </c:pt>
                <c:pt idx="2">
                  <c:v>6.247728404497721E-3</c:v>
                </c:pt>
                <c:pt idx="3">
                  <c:v>3.587458636125529E-3</c:v>
                </c:pt>
                <c:pt idx="4">
                  <c:v>3.0841761507369725E-3</c:v>
                </c:pt>
                <c:pt idx="5">
                  <c:v>2.9816343234136955E-3</c:v>
                </c:pt>
                <c:pt idx="6">
                  <c:v>2.4632911103379396E-3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($177,186K, $186,511K, $195,837K) </c:v>
                </c:pt>
                <c:pt idx="3">
                  <c:v>Plant Design Capacity (kg of H2/day)
(398,356, 379,387, 360,418) </c:v>
                </c:pt>
                <c:pt idx="4">
                  <c:v>Total Fixed Operating Cost
($7,029K, $7,399K, $7,769K) </c:v>
                </c:pt>
                <c:pt idx="5">
                  <c:v>After-tax Real IRR
(8%, 8%, 8%)</c:v>
                </c:pt>
                <c:pt idx="6">
                  <c:v>Utilities Consumption (% of baseline)
(95%, 100%, 105%)</c:v>
                </c:pt>
              </c:strCache>
            </c:strRef>
          </c:cat>
          <c:val>
            <c:numRef>
              <c:f>'Tornado Charts &amp; Risk Analysis'!$J$101:$J$107</c:f>
              <c:numCache>
                <c:formatCode>General</c:formatCode>
                <c:ptCount val="7"/>
                <c:pt idx="0">
                  <c:v>5.2566994699114744E-2</c:v>
                </c:pt>
                <c:pt idx="1">
                  <c:v>1.0011314047482678E-2</c:v>
                </c:pt>
                <c:pt idx="2">
                  <c:v>6.2477284044981651E-3</c:v>
                </c:pt>
                <c:pt idx="3">
                  <c:v>3.864135527127166E-3</c:v>
                </c:pt>
                <c:pt idx="4">
                  <c:v>3.0841761507374166E-3</c:v>
                </c:pt>
                <c:pt idx="5">
                  <c:v>3.15319625165289E-3</c:v>
                </c:pt>
                <c:pt idx="6">
                  <c:v>2.4632911103383837E-3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1.2632645525367054</c:v>
                </c:pt>
                <c:pt idx="1">
                  <c:v>1.3067736916690487</c:v>
                </c:pt>
                <c:pt idx="2">
                  <c:v>1.3095838188313211</c:v>
                </c:pt>
                <c:pt idx="3">
                  <c:v>1.3122440885996933</c:v>
                </c:pt>
                <c:pt idx="4">
                  <c:v>1.3127473710850819</c:v>
                </c:pt>
                <c:pt idx="5">
                  <c:v>1.3128499129124052</c:v>
                </c:pt>
                <c:pt idx="6">
                  <c:v>1.3133682561254809</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1.3683985419349336</c:v>
                </c:pt>
                <c:pt idx="1">
                  <c:v>1.3258428612833015</c:v>
                </c:pt>
                <c:pt idx="2">
                  <c:v>1.322079275640317</c:v>
                </c:pt>
                <c:pt idx="3">
                  <c:v>1.319695682762946</c:v>
                </c:pt>
                <c:pt idx="4">
                  <c:v>1.3189157233865563</c:v>
                </c:pt>
                <c:pt idx="5">
                  <c:v>1.3189847434874717</c:v>
                </c:pt>
                <c:pt idx="6">
                  <c:v>1.3182948383461572</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1.3158315472358189</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1.3158315472358189</c:v>
                </c:pt>
                <c:pt idx="1">
                  <c:v>1.2632645525367054</c:v>
                </c:pt>
                <c:pt idx="2">
                  <c:v>1.2542066969699335</c:v>
                </c:pt>
                <c:pt idx="3">
                  <c:v>1.2482564794418398</c:v>
                </c:pt>
                <c:pt idx="4">
                  <c:v>1.2453932077143497</c:v>
                </c:pt>
                <c:pt idx="5">
                  <c:v>1.2429299166040118</c:v>
                </c:pt>
                <c:pt idx="6">
                  <c:v>1.2429299166040118</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5.2566994699113412E-2</c:v>
                </c:pt>
                <c:pt idx="2">
                  <c:v>9.0578555667719662E-3</c:v>
                </c:pt>
                <c:pt idx="3">
                  <c:v>5.9502175280936598E-3</c:v>
                </c:pt>
                <c:pt idx="4">
                  <c:v>2.8632717274901243E-3</c:v>
                </c:pt>
                <c:pt idx="5">
                  <c:v>2.4632911103379396E-3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1.2588391992603181</c:v>
                </c:pt>
                <c:pt idx="1">
                  <c:v>1.2647557321958423</c:v>
                </c:pt>
                <c:pt idx="2">
                  <c:v>1.2706722651313664</c:v>
                </c:pt>
                <c:pt idx="3">
                  <c:v>1.2765887980668906</c:v>
                </c:pt>
                <c:pt idx="4">
                  <c:v>1.2825053310024148</c:v>
                </c:pt>
                <c:pt idx="5">
                  <c:v>1.288421863937939</c:v>
                </c:pt>
                <c:pt idx="6">
                  <c:v>1.2943383968734632</c:v>
                </c:pt>
                <c:pt idx="7">
                  <c:v>1.3002549298089874</c:v>
                </c:pt>
                <c:pt idx="8">
                  <c:v>1.3061714627445116</c:v>
                </c:pt>
                <c:pt idx="9">
                  <c:v>1.3120879956800358</c:v>
                </c:pt>
                <c:pt idx="10">
                  <c:v>1.3180045286155599</c:v>
                </c:pt>
                <c:pt idx="11">
                  <c:v>1.3239210615510841</c:v>
                </c:pt>
                <c:pt idx="12">
                  <c:v>1.3298375944866083</c:v>
                </c:pt>
                <c:pt idx="13">
                  <c:v>1.3357541274221325</c:v>
                </c:pt>
                <c:pt idx="14">
                  <c:v>1.3416706603576567</c:v>
                </c:pt>
                <c:pt idx="15">
                  <c:v>1.3475871932931809</c:v>
                </c:pt>
                <c:pt idx="16">
                  <c:v>1.3535037262287051</c:v>
                </c:pt>
                <c:pt idx="17">
                  <c:v>1.3594202591642293</c:v>
                </c:pt>
                <c:pt idx="18">
                  <c:v>1.3653367920997534</c:v>
                </c:pt>
                <c:pt idx="19">
                  <c:v>1.3712538250352777</c:v>
                </c:pt>
              </c:numCache>
            </c:numRef>
          </c:xVal>
          <c:yVal>
            <c:numRef>
              <c:f>'Tornado Charts &amp; Risk Analysis'!$I$202:$I$221</c:f>
              <c:numCache>
                <c:formatCode>General</c:formatCode>
                <c:ptCount val="20"/>
                <c:pt idx="0">
                  <c:v>2E-3</c:v>
                </c:pt>
                <c:pt idx="1">
                  <c:v>0.01</c:v>
                </c:pt>
                <c:pt idx="2">
                  <c:v>2.9499999999999998E-2</c:v>
                </c:pt>
                <c:pt idx="3">
                  <c:v>5.7999999999999996E-2</c:v>
                </c:pt>
                <c:pt idx="4">
                  <c:v>9.7500000000000003E-2</c:v>
                </c:pt>
                <c:pt idx="5">
                  <c:v>0.1615</c:v>
                </c:pt>
                <c:pt idx="6">
                  <c:v>0.2215</c:v>
                </c:pt>
                <c:pt idx="7">
                  <c:v>0.30249999999999999</c:v>
                </c:pt>
                <c:pt idx="8">
                  <c:v>0.39349999999999996</c:v>
                </c:pt>
                <c:pt idx="9">
                  <c:v>0.48699999999999999</c:v>
                </c:pt>
                <c:pt idx="10">
                  <c:v>0.58450000000000002</c:v>
                </c:pt>
                <c:pt idx="11">
                  <c:v>0.68500000000000005</c:v>
                </c:pt>
                <c:pt idx="12">
                  <c:v>0.76700000000000002</c:v>
                </c:pt>
                <c:pt idx="13">
                  <c:v>0.83350000000000002</c:v>
                </c:pt>
                <c:pt idx="14">
                  <c:v>0.88550000000000006</c:v>
                </c:pt>
                <c:pt idx="15">
                  <c:v>0.92700000000000005</c:v>
                </c:pt>
                <c:pt idx="16">
                  <c:v>0.96500000000000008</c:v>
                </c:pt>
                <c:pt idx="17">
                  <c:v>0.98750000000000004</c:v>
                </c:pt>
                <c:pt idx="18">
                  <c:v>0.99650000000000005</c:v>
                </c:pt>
                <c:pt idx="19">
                  <c:v>1</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1.2588391992603181</c:v>
                </c:pt>
                <c:pt idx="1">
                  <c:v>1.2647557321958423</c:v>
                </c:pt>
                <c:pt idx="2">
                  <c:v>1.2706722651313664</c:v>
                </c:pt>
                <c:pt idx="3">
                  <c:v>1.2765887980668906</c:v>
                </c:pt>
                <c:pt idx="4">
                  <c:v>1.2825053310024148</c:v>
                </c:pt>
                <c:pt idx="5">
                  <c:v>1.288421863937939</c:v>
                </c:pt>
                <c:pt idx="6">
                  <c:v>1.2943383968734632</c:v>
                </c:pt>
                <c:pt idx="7">
                  <c:v>1.3002549298089874</c:v>
                </c:pt>
                <c:pt idx="8">
                  <c:v>1.3061714627445116</c:v>
                </c:pt>
                <c:pt idx="9">
                  <c:v>1.3120879956800358</c:v>
                </c:pt>
                <c:pt idx="10">
                  <c:v>1.3180045286155599</c:v>
                </c:pt>
                <c:pt idx="11">
                  <c:v>1.3239210615510841</c:v>
                </c:pt>
                <c:pt idx="12">
                  <c:v>1.3298375944866083</c:v>
                </c:pt>
                <c:pt idx="13">
                  <c:v>1.3357541274221325</c:v>
                </c:pt>
                <c:pt idx="14">
                  <c:v>1.3416706603576567</c:v>
                </c:pt>
                <c:pt idx="15">
                  <c:v>1.3475871932931809</c:v>
                </c:pt>
                <c:pt idx="16">
                  <c:v>1.3535037262287051</c:v>
                </c:pt>
                <c:pt idx="17">
                  <c:v>1.3594202591642293</c:v>
                </c:pt>
                <c:pt idx="18">
                  <c:v>1.3653367920997534</c:v>
                </c:pt>
                <c:pt idx="19">
                  <c:v>1.3712538250352777</c:v>
                </c:pt>
              </c:numCache>
            </c:numRef>
          </c:xVal>
          <c:yVal>
            <c:numRef>
              <c:f>'Tornado Charts &amp; Risk Analysis'!$H$202:$H$221</c:f>
              <c:numCache>
                <c:formatCode>General</c:formatCode>
                <c:ptCount val="20"/>
                <c:pt idx="0">
                  <c:v>2E-3</c:v>
                </c:pt>
                <c:pt idx="1">
                  <c:v>8.0000000000000002E-3</c:v>
                </c:pt>
                <c:pt idx="2">
                  <c:v>1.95E-2</c:v>
                </c:pt>
                <c:pt idx="3">
                  <c:v>2.8500000000000001E-2</c:v>
                </c:pt>
                <c:pt idx="4">
                  <c:v>3.95E-2</c:v>
                </c:pt>
                <c:pt idx="5">
                  <c:v>6.4000000000000001E-2</c:v>
                </c:pt>
                <c:pt idx="6">
                  <c:v>0.06</c:v>
                </c:pt>
                <c:pt idx="7">
                  <c:v>8.1000000000000003E-2</c:v>
                </c:pt>
                <c:pt idx="8">
                  <c:v>9.0999999999999998E-2</c:v>
                </c:pt>
                <c:pt idx="9">
                  <c:v>9.35E-2</c:v>
                </c:pt>
                <c:pt idx="10">
                  <c:v>9.7500000000000003E-2</c:v>
                </c:pt>
                <c:pt idx="11">
                  <c:v>0.10050000000000001</c:v>
                </c:pt>
                <c:pt idx="12">
                  <c:v>8.2000000000000003E-2</c:v>
                </c:pt>
                <c:pt idx="13">
                  <c:v>6.6500000000000004E-2</c:v>
                </c:pt>
                <c:pt idx="14">
                  <c:v>5.1999999999999998E-2</c:v>
                </c:pt>
                <c:pt idx="15">
                  <c:v>4.1500000000000002E-2</c:v>
                </c:pt>
                <c:pt idx="16">
                  <c:v>3.7999999999999999E-2</c:v>
                </c:pt>
                <c:pt idx="17">
                  <c:v>2.2499999999999999E-2</c:v>
                </c:pt>
                <c:pt idx="18">
                  <c:v>8.9999999999999993E-3</c:v>
                </c:pt>
                <c:pt idx="19">
                  <c:v>3.5000000000000001E-3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33.emf"/><Relationship Id="rId7" Type="http://schemas.openxmlformats.org/officeDocument/2006/relationships/image" Target="../media/image28.emf"/><Relationship Id="rId2" Type="http://schemas.openxmlformats.org/officeDocument/2006/relationships/image" Target="../media/image32.emf"/><Relationship Id="rId1" Type="http://schemas.openxmlformats.org/officeDocument/2006/relationships/image" Target="../media/image31.emf"/><Relationship Id="rId6" Type="http://schemas.openxmlformats.org/officeDocument/2006/relationships/image" Target="../media/image29.emf"/><Relationship Id="rId11" Type="http://schemas.openxmlformats.org/officeDocument/2006/relationships/image" Target="../media/image24.emf"/><Relationship Id="rId5" Type="http://schemas.openxmlformats.org/officeDocument/2006/relationships/image" Target="../media/image30.emf"/><Relationship Id="rId10" Type="http://schemas.openxmlformats.org/officeDocument/2006/relationships/image" Target="../media/image25.emf"/><Relationship Id="rId4" Type="http://schemas.openxmlformats.org/officeDocument/2006/relationships/image" Target="../media/image34.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6862000</xdr:colOff>
      <xdr:row>1</xdr:row>
      <xdr:rowOff>210590</xdr:rowOff>
    </xdr:from>
    <xdr:to>
      <xdr:col>1</xdr:col>
      <xdr:colOff>7991436</xdr:colOff>
      <xdr:row>3</xdr:row>
      <xdr:rowOff>138465</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7467118" y="367472"/>
          <a:ext cx="1129436"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0</xdr:col>
      <xdr:colOff>605117</xdr:colOff>
      <xdr:row>8</xdr:row>
      <xdr:rowOff>0</xdr:rowOff>
    </xdr:from>
    <xdr:to>
      <xdr:col>2</xdr:col>
      <xdr:colOff>576074</xdr:colOff>
      <xdr:row>17</xdr:row>
      <xdr:rowOff>145676</xdr:rowOff>
    </xdr:to>
    <xdr:pic>
      <xdr:nvPicPr>
        <xdr:cNvPr id="8" name="Picture 2">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5117" y="1400735"/>
          <a:ext cx="8924457" cy="41797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225</xdr:row>
      <xdr:rowOff>0</xdr:rowOff>
    </xdr:from>
    <xdr:to>
      <xdr:col>2</xdr:col>
      <xdr:colOff>76200</xdr:colOff>
      <xdr:row>226</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165100</xdr:colOff>
          <xdr:row>66</xdr:row>
          <xdr:rowOff>12700</xdr:rowOff>
        </xdr:from>
        <xdr:to>
          <xdr:col>3</xdr:col>
          <xdr:colOff>488950</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31750</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128</xdr:row>
          <xdr:rowOff>247650</xdr:rowOff>
        </xdr:from>
        <xdr:to>
          <xdr:col>3</xdr:col>
          <xdr:colOff>184150</xdr:colOff>
          <xdr:row>129</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2222500</xdr:colOff>
          <xdr:row>131</xdr:row>
          <xdr:rowOff>38100</xdr:rowOff>
        </xdr:from>
        <xdr:to>
          <xdr:col>1</xdr:col>
          <xdr:colOff>3613150</xdr:colOff>
          <xdr:row>131</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131</xdr:row>
          <xdr:rowOff>50800</xdr:rowOff>
        </xdr:from>
        <xdr:to>
          <xdr:col>3</xdr:col>
          <xdr:colOff>609600</xdr:colOff>
          <xdr:row>131</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40</xdr:row>
          <xdr:rowOff>184150</xdr:rowOff>
        </xdr:from>
        <xdr:to>
          <xdr:col>3</xdr:col>
          <xdr:colOff>1231900</xdr:colOff>
          <xdr:row>41</xdr:row>
          <xdr:rowOff>184150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42</xdr:row>
          <xdr:rowOff>12700</xdr:rowOff>
        </xdr:from>
        <xdr:to>
          <xdr:col>3</xdr:col>
          <xdr:colOff>1231900</xdr:colOff>
          <xdr:row>43</xdr:row>
          <xdr:rowOff>12700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29</xdr:row>
          <xdr:rowOff>12700</xdr:rowOff>
        </xdr:from>
        <xdr:to>
          <xdr:col>3</xdr:col>
          <xdr:colOff>1231900</xdr:colOff>
          <xdr:row>30</xdr:row>
          <xdr:rowOff>31750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12700</xdr:rowOff>
        </xdr:from>
        <xdr:to>
          <xdr:col>3</xdr:col>
          <xdr:colOff>1231900</xdr:colOff>
          <xdr:row>49</xdr:row>
          <xdr:rowOff>12700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49</xdr:row>
          <xdr:rowOff>12700</xdr:rowOff>
        </xdr:from>
        <xdr:to>
          <xdr:col>3</xdr:col>
          <xdr:colOff>1231900</xdr:colOff>
          <xdr:row>50</xdr:row>
          <xdr:rowOff>12700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12700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51</xdr:row>
          <xdr:rowOff>12700</xdr:rowOff>
        </xdr:from>
        <xdr:to>
          <xdr:col>3</xdr:col>
          <xdr:colOff>1231900</xdr:colOff>
          <xdr:row>52</xdr:row>
          <xdr:rowOff>12700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52</xdr:row>
          <xdr:rowOff>12700</xdr:rowOff>
        </xdr:from>
        <xdr:to>
          <xdr:col>3</xdr:col>
          <xdr:colOff>1231900</xdr:colOff>
          <xdr:row>53</xdr:row>
          <xdr:rowOff>12700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53</xdr:row>
          <xdr:rowOff>12700</xdr:rowOff>
        </xdr:from>
        <xdr:to>
          <xdr:col>3</xdr:col>
          <xdr:colOff>1231900</xdr:colOff>
          <xdr:row>54</xdr:row>
          <xdr:rowOff>12700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55</xdr:row>
          <xdr:rowOff>12700</xdr:rowOff>
        </xdr:from>
        <xdr:to>
          <xdr:col>3</xdr:col>
          <xdr:colOff>1231900</xdr:colOff>
          <xdr:row>56</xdr:row>
          <xdr:rowOff>12700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113</xdr:row>
          <xdr:rowOff>12700</xdr:rowOff>
        </xdr:from>
        <xdr:to>
          <xdr:col>3</xdr:col>
          <xdr:colOff>1162050</xdr:colOff>
          <xdr:row>114</xdr:row>
          <xdr:rowOff>31750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116</xdr:row>
          <xdr:rowOff>38100</xdr:rowOff>
        </xdr:from>
        <xdr:to>
          <xdr:col>3</xdr:col>
          <xdr:colOff>1085850</xdr:colOff>
          <xdr:row>116</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154</xdr:row>
          <xdr:rowOff>12700</xdr:rowOff>
        </xdr:from>
        <xdr:to>
          <xdr:col>5</xdr:col>
          <xdr:colOff>1212850</xdr:colOff>
          <xdr:row>155</xdr:row>
          <xdr:rowOff>12700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155</xdr:row>
          <xdr:rowOff>12700</xdr:rowOff>
        </xdr:from>
        <xdr:to>
          <xdr:col>5</xdr:col>
          <xdr:colOff>1212850</xdr:colOff>
          <xdr:row>156</xdr:row>
          <xdr:rowOff>12700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156</xdr:row>
          <xdr:rowOff>0</xdr:rowOff>
        </xdr:from>
        <xdr:to>
          <xdr:col>5</xdr:col>
          <xdr:colOff>1212850</xdr:colOff>
          <xdr:row>157</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158</xdr:row>
          <xdr:rowOff>0</xdr:rowOff>
        </xdr:from>
        <xdr:to>
          <xdr:col>5</xdr:col>
          <xdr:colOff>1212850</xdr:colOff>
          <xdr:row>159</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160</xdr:row>
          <xdr:rowOff>0</xdr:rowOff>
        </xdr:from>
        <xdr:to>
          <xdr:col>5</xdr:col>
          <xdr:colOff>1212850</xdr:colOff>
          <xdr:row>161</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130</xdr:row>
      <xdr:rowOff>289433</xdr:rowOff>
    </xdr:from>
    <xdr:to>
      <xdr:col>5</xdr:col>
      <xdr:colOff>681318</xdr:colOff>
      <xdr:row>132</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133</xdr:row>
      <xdr:rowOff>143435</xdr:rowOff>
    </xdr:from>
    <xdr:to>
      <xdr:col>4</xdr:col>
      <xdr:colOff>645460</xdr:colOff>
      <xdr:row>134</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133</xdr:row>
      <xdr:rowOff>152400</xdr:rowOff>
    </xdr:from>
    <xdr:to>
      <xdr:col>5</xdr:col>
      <xdr:colOff>1156447</xdr:colOff>
      <xdr:row>135</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153</xdr:row>
      <xdr:rowOff>17930</xdr:rowOff>
    </xdr:from>
    <xdr:to>
      <xdr:col>4</xdr:col>
      <xdr:colOff>762001</xdr:colOff>
      <xdr:row>153</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88</xdr:row>
      <xdr:rowOff>20351</xdr:rowOff>
    </xdr:from>
    <xdr:to>
      <xdr:col>3</xdr:col>
      <xdr:colOff>1364974</xdr:colOff>
      <xdr:row>90</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0.33917</cdr:x>
      <cdr:y>0.42925</cdr:y>
    </cdr:to>
    <cdr:sp macro="" textlink="'Tornado Charts &amp; Risk Analysis'!$H$160">
      <cdr:nvSpPr>
        <cdr:cNvPr id="7" name="TextBox 1"/>
        <cdr:cNvSpPr txBox="1"/>
      </cdr:nvSpPr>
      <cdr:spPr>
        <a:xfrm xmlns:a="http://schemas.openxmlformats.org/drawingml/2006/main">
          <a:off x="0" y="1651976"/>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0.23323</cdr:x>
      <cdr:y>0.48121</cdr:y>
    </cdr:to>
    <cdr:sp macro="" textlink="'Tornado Charts &amp; Risk Analysis'!$H$161">
      <cdr:nvSpPr>
        <cdr:cNvPr id="8" name="TextBox 1"/>
        <cdr:cNvSpPr txBox="1"/>
      </cdr:nvSpPr>
      <cdr:spPr>
        <a:xfrm xmlns:a="http://schemas.openxmlformats.org/drawingml/2006/main">
          <a:off x="0" y="1880971"/>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0.33917</cdr:x>
      <cdr:y>0.53284</cdr:y>
    </cdr:to>
    <cdr:sp macro="" textlink="'Tornado Charts &amp; Risk Analysis'!$H$162">
      <cdr:nvSpPr>
        <cdr:cNvPr id="9" name="TextBox 1"/>
        <cdr:cNvSpPr txBox="1"/>
      </cdr:nvSpPr>
      <cdr:spPr>
        <a:xfrm xmlns:a="http://schemas.openxmlformats.org/drawingml/2006/main">
          <a:off x="0" y="2108512"/>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0.15348</cdr:x>
      <cdr:y>0.58463</cdr:y>
    </cdr:to>
    <cdr:sp macro="" textlink="'Tornado Charts &amp; Risk Analysis'!$H$163">
      <cdr:nvSpPr>
        <cdr:cNvPr id="10" name="TextBox 1"/>
        <cdr:cNvSpPr txBox="1"/>
      </cdr:nvSpPr>
      <cdr:spPr>
        <a:xfrm xmlns:a="http://schemas.openxmlformats.org/drawingml/2006/main">
          <a:off x="0" y="2336759"/>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0.35461</cdr:x>
      <cdr:y>0.63687</cdr:y>
    </cdr:to>
    <cdr:sp macro="" textlink="'Tornado Charts &amp; Risk Analysis'!$H$164">
      <cdr:nvSpPr>
        <cdr:cNvPr id="11" name="TextBox 1"/>
        <cdr:cNvSpPr txBox="1"/>
      </cdr:nvSpPr>
      <cdr:spPr>
        <a:xfrm xmlns:a="http://schemas.openxmlformats.org/drawingml/2006/main">
          <a:off x="0" y="2566988"/>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0.2844</cdr:x>
      <cdr:y>0.68772</cdr:y>
    </cdr:to>
    <cdr:sp macro="" textlink="'Tornado Charts &amp; Risk Analysis'!$H$165">
      <cdr:nvSpPr>
        <cdr:cNvPr id="12" name="TextBox 1"/>
        <cdr:cNvSpPr txBox="1"/>
      </cdr:nvSpPr>
      <cdr:spPr>
        <a:xfrm xmlns:a="http://schemas.openxmlformats.org/drawingml/2006/main">
          <a:off x="0" y="2791092"/>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0.08917</cdr:x>
      <cdr:y>0.73996</cdr:y>
    </cdr:to>
    <cdr:sp macro="" textlink="'Tornado Charts &amp; Risk Analysis'!$H$166">
      <cdr:nvSpPr>
        <cdr:cNvPr id="13" name="TextBox 1"/>
        <cdr:cNvSpPr txBox="1"/>
      </cdr:nvSpPr>
      <cdr:spPr>
        <a:xfrm xmlns:a="http://schemas.openxmlformats.org/drawingml/2006/main">
          <a:off x="0" y="3021321"/>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0.20345</cdr:x>
      <cdr:y>0.79159</cdr:y>
    </cdr:to>
    <cdr:sp macro="" textlink="'Tornado Charts &amp; Risk Analysis'!$H$167">
      <cdr:nvSpPr>
        <cdr:cNvPr id="14" name="TextBox 1"/>
        <cdr:cNvSpPr txBox="1"/>
      </cdr:nvSpPr>
      <cdr:spPr>
        <a:xfrm xmlns:a="http://schemas.openxmlformats.org/drawingml/2006/main">
          <a:off x="0" y="324886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0.26056</cdr:x>
      <cdr:y>0.84327</cdr:y>
    </cdr:to>
    <cdr:sp macro="" textlink="'Tornado Charts &amp; Risk Analysis'!$H$168">
      <cdr:nvSpPr>
        <cdr:cNvPr id="15" name="TextBox 1"/>
        <cdr:cNvSpPr txBox="1"/>
      </cdr:nvSpPr>
      <cdr:spPr>
        <a:xfrm xmlns:a="http://schemas.openxmlformats.org/drawingml/2006/main">
          <a:off x="0" y="3476624"/>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0.38439</cdr:x>
      <cdr:y>0.89501</cdr:y>
    </cdr:to>
    <cdr:sp macro="" textlink="'Tornado Charts &amp; Risk Analysis'!$H$169">
      <cdr:nvSpPr>
        <cdr:cNvPr id="16" name="TextBox 1"/>
        <cdr:cNvSpPr txBox="1"/>
      </cdr:nvSpPr>
      <cdr:spPr>
        <a:xfrm xmlns:a="http://schemas.openxmlformats.org/drawingml/2006/main">
          <a:off x="0" y="370464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0.26533</cdr:x>
      <cdr:y>0.94697</cdr:y>
    </cdr:to>
    <cdr:sp macro="" textlink="'Tornado Charts &amp; Risk Analysis'!$H$170">
      <cdr:nvSpPr>
        <cdr:cNvPr id="17" name="TextBox 1"/>
        <cdr:cNvSpPr txBox="1"/>
      </cdr:nvSpPr>
      <cdr:spPr>
        <a:xfrm xmlns:a="http://schemas.openxmlformats.org/drawingml/2006/main">
          <a:off x="0" y="393364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69850</xdr:rowOff>
        </xdr:from>
        <xdr:to>
          <xdr:col>4</xdr:col>
          <xdr:colOff>38100</xdr:colOff>
          <xdr:row>30</xdr:row>
          <xdr:rowOff>279400</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146050</xdr:colOff>
          <xdr:row>43</xdr:row>
          <xdr:rowOff>12700</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241300</xdr:colOff>
          <xdr:row>31</xdr:row>
          <xdr:rowOff>69850</xdr:rowOff>
        </xdr:from>
        <xdr:to>
          <xdr:col>4</xdr:col>
          <xdr:colOff>31750</xdr:colOff>
          <xdr:row>31</xdr:row>
          <xdr:rowOff>279400</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31</xdr:row>
          <xdr:rowOff>336550</xdr:rowOff>
        </xdr:from>
        <xdr:to>
          <xdr:col>4</xdr:col>
          <xdr:colOff>31750</xdr:colOff>
          <xdr:row>33</xdr:row>
          <xdr:rowOff>12700</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32</xdr:row>
          <xdr:rowOff>165100</xdr:rowOff>
        </xdr:from>
        <xdr:to>
          <xdr:col>4</xdr:col>
          <xdr:colOff>31750</xdr:colOff>
          <xdr:row>34</xdr:row>
          <xdr:rowOff>12700</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33</xdr:row>
          <xdr:rowOff>152400</xdr:rowOff>
        </xdr:from>
        <xdr:to>
          <xdr:col>4</xdr:col>
          <xdr:colOff>31750</xdr:colOff>
          <xdr:row>34</xdr:row>
          <xdr:rowOff>184150</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34</xdr:row>
          <xdr:rowOff>152400</xdr:rowOff>
        </xdr:from>
        <xdr:to>
          <xdr:col>4</xdr:col>
          <xdr:colOff>31750</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35</xdr:row>
          <xdr:rowOff>165100</xdr:rowOff>
        </xdr:from>
        <xdr:to>
          <xdr:col>4</xdr:col>
          <xdr:colOff>31750</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165100</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Other Variable Operating Costs</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Fixed Operating Cost</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Initial Equity Depreciable Capital</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Cash for Working Capital Reserve</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Yearly Replacement Costs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Taxes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Principal Payment</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Decommissioning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($177,186K, $186,511K, $195,837K)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Plant Design Capacity (kg of H2/day)
(398,356, 379,387, 360,418)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Total Fixed Operating Cost
($7,029K, $7,399K, $7,769K) </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4"/>
  <sheetViews>
    <sheetView tabSelected="1" workbookViewId="0">
      <selection activeCell="B2" sqref="B2"/>
    </sheetView>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2" t="s">
        <v>407</v>
      </c>
    </row>
    <row r="4" spans="2:4" ht="13" thickBot="1" x14ac:dyDescent="0.3"/>
    <row r="5" spans="2:4" ht="26" thickTop="1" x14ac:dyDescent="0.3">
      <c r="B5" s="788" t="s">
        <v>211</v>
      </c>
      <c r="C5" s="1262" t="s">
        <v>1424</v>
      </c>
      <c r="D5" s="1265"/>
    </row>
    <row r="6" spans="2:4" ht="13" x14ac:dyDescent="0.3">
      <c r="B6" s="791" t="s">
        <v>212</v>
      </c>
      <c r="C6" s="1263" t="s">
        <v>1370</v>
      </c>
      <c r="D6" s="1265"/>
    </row>
    <row r="7" spans="2:4" ht="13" x14ac:dyDescent="0.3">
      <c r="B7" s="791" t="s">
        <v>213</v>
      </c>
      <c r="C7" s="1263" t="s">
        <v>1346</v>
      </c>
      <c r="D7" s="1265"/>
    </row>
    <row r="8" spans="2:4" ht="13" x14ac:dyDescent="0.3">
      <c r="B8" s="791" t="s">
        <v>214</v>
      </c>
      <c r="C8" s="1263" t="s">
        <v>1347</v>
      </c>
      <c r="D8" s="1265"/>
    </row>
    <row r="9" spans="2:4" ht="13" x14ac:dyDescent="0.3">
      <c r="B9" s="791" t="s">
        <v>215</v>
      </c>
      <c r="C9" s="992" t="s">
        <v>1348</v>
      </c>
      <c r="D9" s="793"/>
    </row>
    <row r="10" spans="2:4" ht="13" x14ac:dyDescent="0.3">
      <c r="B10" s="791" t="s">
        <v>216</v>
      </c>
      <c r="C10" s="1263" t="s">
        <v>830</v>
      </c>
      <c r="D10" s="1265"/>
    </row>
    <row r="11" spans="2:4" ht="13" x14ac:dyDescent="0.3">
      <c r="B11" s="791" t="s">
        <v>217</v>
      </c>
      <c r="C11" s="1264">
        <v>43137</v>
      </c>
      <c r="D11" s="1443"/>
    </row>
    <row r="12" spans="2:4" ht="13.5" thickBot="1" x14ac:dyDescent="0.35">
      <c r="B12" s="796" t="s">
        <v>218</v>
      </c>
      <c r="C12" s="993" t="s">
        <v>1298</v>
      </c>
      <c r="D12" s="1265"/>
    </row>
    <row r="13" spans="2:4" ht="14" thickTop="1" thickBot="1" x14ac:dyDescent="0.35">
      <c r="B13" s="797"/>
      <c r="C13" s="1265"/>
      <c r="D13" s="1444"/>
    </row>
    <row r="14" spans="2:4" ht="13.5" thickTop="1" x14ac:dyDescent="0.3">
      <c r="B14" s="788" t="s">
        <v>219</v>
      </c>
      <c r="C14" s="1445">
        <v>379387</v>
      </c>
      <c r="D14" s="1446"/>
    </row>
    <row r="15" spans="2:4" ht="13" x14ac:dyDescent="0.3">
      <c r="B15" s="791" t="s">
        <v>220</v>
      </c>
      <c r="C15" s="1266">
        <v>2015</v>
      </c>
      <c r="D15" s="802"/>
    </row>
    <row r="16" spans="2:4" ht="13" x14ac:dyDescent="0.3">
      <c r="B16" s="791" t="s">
        <v>221</v>
      </c>
      <c r="C16" s="1205" t="s">
        <v>283</v>
      </c>
      <c r="D16" s="1446"/>
    </row>
    <row r="17" spans="2:4" ht="13" x14ac:dyDescent="0.3">
      <c r="B17" s="791" t="s">
        <v>222</v>
      </c>
      <c r="C17" s="1205" t="s">
        <v>1371</v>
      </c>
      <c r="D17" s="1446"/>
    </row>
    <row r="18" spans="2:4" ht="13" x14ac:dyDescent="0.3">
      <c r="B18" s="791" t="s">
        <v>223</v>
      </c>
      <c r="C18" s="1205" t="s">
        <v>1372</v>
      </c>
      <c r="D18" s="803"/>
    </row>
    <row r="19" spans="2:4" ht="13" x14ac:dyDescent="0.3">
      <c r="B19" s="791" t="s">
        <v>224</v>
      </c>
      <c r="C19" s="1205" t="s">
        <v>1373</v>
      </c>
      <c r="D19" s="1446"/>
    </row>
    <row r="20" spans="2:4" ht="13" x14ac:dyDescent="0.3">
      <c r="B20" s="791" t="s">
        <v>225</v>
      </c>
      <c r="C20" s="1205" t="s">
        <v>1374</v>
      </c>
      <c r="D20" s="1446"/>
    </row>
    <row r="21" spans="2:4" ht="13" x14ac:dyDescent="0.3">
      <c r="B21" s="791" t="s">
        <v>226</v>
      </c>
      <c r="C21" s="1205" t="s">
        <v>282</v>
      </c>
      <c r="D21" s="1446"/>
    </row>
    <row r="22" spans="2:4" ht="26" x14ac:dyDescent="0.3">
      <c r="B22" s="804" t="s">
        <v>227</v>
      </c>
      <c r="C22" s="1266" t="s">
        <v>1371</v>
      </c>
      <c r="D22" s="1446"/>
    </row>
    <row r="23" spans="2:4" ht="13" x14ac:dyDescent="0.3">
      <c r="B23" s="804" t="s">
        <v>228</v>
      </c>
      <c r="C23" s="1205" t="s">
        <v>1082</v>
      </c>
      <c r="D23" s="1446"/>
    </row>
    <row r="24" spans="2:4" ht="13.5" thickBot="1" x14ac:dyDescent="0.35">
      <c r="B24" s="796" t="s">
        <v>229</v>
      </c>
      <c r="C24" s="1267" t="s">
        <v>1375</v>
      </c>
      <c r="D24" s="1446"/>
    </row>
    <row r="25" spans="2:4" ht="14" thickTop="1" thickBot="1" x14ac:dyDescent="0.35">
      <c r="B25" s="806"/>
      <c r="C25" s="1446"/>
      <c r="D25" s="1446"/>
    </row>
    <row r="26" spans="2:4" ht="13" x14ac:dyDescent="0.3">
      <c r="B26" s="1520" t="s">
        <v>230</v>
      </c>
      <c r="C26" s="1521"/>
      <c r="D26" s="1522"/>
    </row>
    <row r="27" spans="2:4" ht="13" x14ac:dyDescent="0.3">
      <c r="B27" s="1447" t="s">
        <v>231</v>
      </c>
      <c r="C27" s="808" t="s">
        <v>232</v>
      </c>
      <c r="D27" s="1448" t="s">
        <v>1030</v>
      </c>
    </row>
    <row r="28" spans="2:4" x14ac:dyDescent="0.25">
      <c r="B28" s="1468" t="s">
        <v>1299</v>
      </c>
      <c r="C28" s="1204"/>
      <c r="D28" s="1467"/>
    </row>
    <row r="29" spans="2:4" x14ac:dyDescent="0.25">
      <c r="B29" s="1468">
        <v>43137</v>
      </c>
      <c r="C29" s="1204" t="s">
        <v>1300</v>
      </c>
      <c r="D29" s="1467" t="s">
        <v>1301</v>
      </c>
    </row>
    <row r="30" spans="2:4" x14ac:dyDescent="0.25">
      <c r="B30" s="1468"/>
      <c r="C30" s="1204"/>
      <c r="D30" s="1467"/>
    </row>
    <row r="31" spans="2:4" x14ac:dyDescent="0.25">
      <c r="B31" s="1468">
        <v>41442</v>
      </c>
      <c r="C31" s="1204" t="s">
        <v>1357</v>
      </c>
      <c r="D31" s="1467" t="s">
        <v>1358</v>
      </c>
    </row>
    <row r="32" spans="2:4" x14ac:dyDescent="0.25">
      <c r="B32" s="1468"/>
      <c r="C32" s="1204"/>
      <c r="D32" s="1467"/>
    </row>
    <row r="33" spans="2:4" x14ac:dyDescent="0.25">
      <c r="B33" s="1468">
        <v>40882</v>
      </c>
      <c r="C33" s="1204" t="s">
        <v>1361</v>
      </c>
      <c r="D33" s="1467" t="s">
        <v>1362</v>
      </c>
    </row>
    <row r="34" spans="2:4" x14ac:dyDescent="0.25">
      <c r="B34" s="1468" t="s">
        <v>1363</v>
      </c>
      <c r="C34" s="1204"/>
      <c r="D34" s="1467"/>
    </row>
    <row r="35" spans="2:4" x14ac:dyDescent="0.25">
      <c r="B35" s="1468">
        <v>39713</v>
      </c>
      <c r="C35" s="1204" t="s">
        <v>1361</v>
      </c>
      <c r="D35" s="1467" t="s">
        <v>831</v>
      </c>
    </row>
    <row r="36" spans="2:4" x14ac:dyDescent="0.25">
      <c r="B36" s="1468">
        <v>39591</v>
      </c>
      <c r="C36" s="1204" t="s">
        <v>1361</v>
      </c>
      <c r="D36" s="1467" t="s">
        <v>1364</v>
      </c>
    </row>
    <row r="37" spans="2:4" x14ac:dyDescent="0.25">
      <c r="B37" s="1468">
        <v>39521</v>
      </c>
      <c r="C37" s="1204" t="s">
        <v>1361</v>
      </c>
      <c r="D37" s="1467" t="s">
        <v>1362</v>
      </c>
    </row>
    <row r="38" spans="2:4" x14ac:dyDescent="0.25">
      <c r="B38" s="1468" t="s">
        <v>1365</v>
      </c>
      <c r="C38" s="1204"/>
      <c r="D38" s="1467"/>
    </row>
    <row r="39" spans="2:4" x14ac:dyDescent="0.25">
      <c r="B39" s="1468">
        <v>38875</v>
      </c>
      <c r="C39" s="1204" t="s">
        <v>1351</v>
      </c>
      <c r="D39" s="1467"/>
    </row>
    <row r="40" spans="2:4" x14ac:dyDescent="0.25">
      <c r="B40" s="1468">
        <v>38609</v>
      </c>
      <c r="C40" s="1204" t="s">
        <v>1366</v>
      </c>
      <c r="D40" s="1467"/>
    </row>
    <row r="41" spans="2:4" x14ac:dyDescent="0.25">
      <c r="B41" s="1468">
        <v>38530</v>
      </c>
      <c r="C41" s="1204" t="s">
        <v>1367</v>
      </c>
      <c r="D41" s="1467"/>
    </row>
    <row r="42" spans="2:4" x14ac:dyDescent="0.25">
      <c r="B42" s="1468">
        <v>38520</v>
      </c>
      <c r="C42" s="1204" t="s">
        <v>1368</v>
      </c>
      <c r="D42" s="1467"/>
    </row>
    <row r="43" spans="2:4" x14ac:dyDescent="0.25">
      <c r="B43" s="1468">
        <v>38406</v>
      </c>
      <c r="C43" s="1204" t="s">
        <v>1369</v>
      </c>
      <c r="D43" s="1467"/>
    </row>
    <row r="44" spans="2:4" ht="13" thickBot="1" x14ac:dyDescent="0.3">
      <c r="B44" s="1469">
        <v>38271</v>
      </c>
      <c r="C44" s="1466" t="s">
        <v>1368</v>
      </c>
      <c r="D44" s="1470"/>
    </row>
  </sheetData>
  <mergeCells count="1">
    <mergeCell ref="B26:D26"/>
  </mergeCells>
  <phoneticPr fontId="0" type="noConversion"/>
  <hyperlinks>
    <hyperlink ref="C9" r:id="rId1" xr:uid="{F8B944E2-635C-4C31-BB5D-07D882325051}"/>
    <hyperlink ref="C12" r:id="rId2" xr:uid="{FAA3332E-52DB-4203-AAFE-192BEDB8E9A9}"/>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6"/>
  <sheetViews>
    <sheetView workbookViewId="0">
      <selection activeCell="B11" sqref="B11"/>
    </sheetView>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408</v>
      </c>
    </row>
    <row r="6" spans="2:2" ht="13" x14ac:dyDescent="0.3">
      <c r="B6" s="783" t="s">
        <v>206</v>
      </c>
    </row>
    <row r="7" spans="2:2" ht="50" x14ac:dyDescent="0.25">
      <c r="B7" s="1268" t="s">
        <v>1416</v>
      </c>
    </row>
    <row r="8" spans="2:2" x14ac:dyDescent="0.25">
      <c r="B8" s="784"/>
    </row>
    <row r="9" spans="2:2" x14ac:dyDescent="0.25">
      <c r="B9" s="784"/>
    </row>
    <row r="10" spans="2:2" ht="13" x14ac:dyDescent="0.3">
      <c r="B10" s="785" t="s">
        <v>207</v>
      </c>
    </row>
    <row r="11" spans="2:2" ht="87.5" x14ac:dyDescent="0.25">
      <c r="B11" s="1471" t="s">
        <v>1376</v>
      </c>
    </row>
    <row r="12" spans="2:2" ht="50" x14ac:dyDescent="0.25">
      <c r="B12" s="1472" t="s">
        <v>1377</v>
      </c>
    </row>
    <row r="13" spans="2:2" x14ac:dyDescent="0.25">
      <c r="B13" s="784"/>
    </row>
    <row r="14" spans="2:2" ht="13" x14ac:dyDescent="0.3">
      <c r="B14" s="785" t="s">
        <v>208</v>
      </c>
    </row>
    <row r="15" spans="2:2" ht="25" x14ac:dyDescent="0.25">
      <c r="B15" s="1268" t="s">
        <v>1417</v>
      </c>
    </row>
    <row r="16" spans="2:2" x14ac:dyDescent="0.25">
      <c r="B16" s="784"/>
    </row>
    <row r="17" spans="2:2" x14ac:dyDescent="0.25">
      <c r="B17" s="784"/>
    </row>
    <row r="18" spans="2:2" ht="13" x14ac:dyDescent="0.3">
      <c r="B18" s="785" t="s">
        <v>209</v>
      </c>
    </row>
    <row r="19" spans="2:2" x14ac:dyDescent="0.25">
      <c r="B19" s="1268" t="s">
        <v>1378</v>
      </c>
    </row>
    <row r="20" spans="2:2" x14ac:dyDescent="0.25">
      <c r="B20" s="784"/>
    </row>
    <row r="21" spans="2:2" ht="13" x14ac:dyDescent="0.25">
      <c r="B21" s="786" t="s">
        <v>210</v>
      </c>
    </row>
    <row r="22" spans="2:2" x14ac:dyDescent="0.25">
      <c r="B22" s="994" t="s">
        <v>1379</v>
      </c>
    </row>
    <row r="23" spans="2:2" x14ac:dyDescent="0.25">
      <c r="B23" s="1268" t="s">
        <v>1418</v>
      </c>
    </row>
    <row r="24" spans="2:2" x14ac:dyDescent="0.25">
      <c r="B24" s="1268"/>
    </row>
    <row r="25" spans="2:2" x14ac:dyDescent="0.25">
      <c r="B25" s="1268"/>
    </row>
    <row r="26" spans="2:2" x14ac:dyDescent="0.25">
      <c r="B26" s="994"/>
    </row>
    <row r="76" ht="81" customHeight="1" x14ac:dyDescent="0.25"/>
    <row r="78" ht="97.5" customHeight="1" x14ac:dyDescent="0.25"/>
    <row r="80" ht="68.25" customHeight="1" x14ac:dyDescent="0.25"/>
    <row r="82" ht="63" customHeight="1" x14ac:dyDescent="0.25"/>
    <row r="84" ht="63.75" customHeight="1" x14ac:dyDescent="0.25"/>
    <row r="86"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G49"/>
  <sheetViews>
    <sheetView zoomScale="85" zoomScaleNormal="85" workbookViewId="0">
      <selection activeCell="B24" sqref="B24"/>
    </sheetView>
  </sheetViews>
  <sheetFormatPr defaultRowHeight="12.5" x14ac:dyDescent="0.25"/>
  <cols>
    <col min="2" max="2" width="125.26953125" customWidth="1"/>
    <col min="3" max="3" width="12" customWidth="1"/>
    <col min="4" max="4" width="13.81640625" customWidth="1"/>
    <col min="5" max="5" width="17.26953125" customWidth="1"/>
    <col min="6" max="6" width="16.7265625" customWidth="1"/>
    <col min="7" max="7" width="14.26953125" customWidth="1"/>
    <col min="13" max="13" width="38.81640625" customWidth="1"/>
    <col min="14" max="15" width="22.54296875" customWidth="1"/>
    <col min="16" max="16" width="44.453125" customWidth="1"/>
    <col min="254" max="254" width="10.1796875" customWidth="1"/>
    <col min="255" max="255" width="12" customWidth="1"/>
    <col min="256" max="256" width="17.81640625" customWidth="1"/>
    <col min="257" max="257" width="17.26953125" customWidth="1"/>
    <col min="258" max="259" width="31" customWidth="1"/>
    <col min="260" max="263" width="25.1796875" customWidth="1"/>
    <col min="510" max="510" width="10.1796875" customWidth="1"/>
    <col min="511" max="511" width="12" customWidth="1"/>
    <col min="512" max="512" width="17.81640625" customWidth="1"/>
    <col min="513" max="513" width="17.26953125" customWidth="1"/>
    <col min="514" max="515" width="31" customWidth="1"/>
    <col min="516" max="519" width="25.1796875" customWidth="1"/>
    <col min="766" max="766" width="10.1796875" customWidth="1"/>
    <col min="767" max="767" width="12" customWidth="1"/>
    <col min="768" max="768" width="17.81640625" customWidth="1"/>
    <col min="769" max="769" width="17.26953125" customWidth="1"/>
    <col min="770" max="771" width="31" customWidth="1"/>
    <col min="772" max="775" width="25.1796875" customWidth="1"/>
    <col min="1022" max="1022" width="10.1796875" customWidth="1"/>
    <col min="1023" max="1023" width="12" customWidth="1"/>
    <col min="1024" max="1024" width="17.81640625" customWidth="1"/>
    <col min="1025" max="1025" width="17.26953125" customWidth="1"/>
    <col min="1026" max="1027" width="31" customWidth="1"/>
    <col min="1028" max="1031" width="25.1796875" customWidth="1"/>
    <col min="1278" max="1278" width="10.1796875" customWidth="1"/>
    <col min="1279" max="1279" width="12" customWidth="1"/>
    <col min="1280" max="1280" width="17.81640625" customWidth="1"/>
    <col min="1281" max="1281" width="17.26953125" customWidth="1"/>
    <col min="1282" max="1283" width="31" customWidth="1"/>
    <col min="1284" max="1287" width="25.1796875" customWidth="1"/>
    <col min="1534" max="1534" width="10.1796875" customWidth="1"/>
    <col min="1535" max="1535" width="12" customWidth="1"/>
    <col min="1536" max="1536" width="17.81640625" customWidth="1"/>
    <col min="1537" max="1537" width="17.26953125" customWidth="1"/>
    <col min="1538" max="1539" width="31" customWidth="1"/>
    <col min="1540" max="1543" width="25.1796875" customWidth="1"/>
    <col min="1790" max="1790" width="10.1796875" customWidth="1"/>
    <col min="1791" max="1791" width="12" customWidth="1"/>
    <col min="1792" max="1792" width="17.81640625" customWidth="1"/>
    <col min="1793" max="1793" width="17.26953125" customWidth="1"/>
    <col min="1794" max="1795" width="31" customWidth="1"/>
    <col min="1796" max="1799" width="25.1796875" customWidth="1"/>
    <col min="2046" max="2046" width="10.1796875" customWidth="1"/>
    <col min="2047" max="2047" width="12" customWidth="1"/>
    <col min="2048" max="2048" width="17.81640625" customWidth="1"/>
    <col min="2049" max="2049" width="17.26953125" customWidth="1"/>
    <col min="2050" max="2051" width="31" customWidth="1"/>
    <col min="2052" max="2055" width="25.1796875" customWidth="1"/>
    <col min="2302" max="2302" width="10.1796875" customWidth="1"/>
    <col min="2303" max="2303" width="12" customWidth="1"/>
    <col min="2304" max="2304" width="17.81640625" customWidth="1"/>
    <col min="2305" max="2305" width="17.26953125" customWidth="1"/>
    <col min="2306" max="2307" width="31" customWidth="1"/>
    <col min="2308" max="2311" width="25.1796875" customWidth="1"/>
    <col min="2558" max="2558" width="10.1796875" customWidth="1"/>
    <col min="2559" max="2559" width="12" customWidth="1"/>
    <col min="2560" max="2560" width="17.81640625" customWidth="1"/>
    <col min="2561" max="2561" width="17.26953125" customWidth="1"/>
    <col min="2562" max="2563" width="31" customWidth="1"/>
    <col min="2564" max="2567" width="25.1796875" customWidth="1"/>
    <col min="2814" max="2814" width="10.1796875" customWidth="1"/>
    <col min="2815" max="2815" width="12" customWidth="1"/>
    <col min="2816" max="2816" width="17.81640625" customWidth="1"/>
    <col min="2817" max="2817" width="17.26953125" customWidth="1"/>
    <col min="2818" max="2819" width="31" customWidth="1"/>
    <col min="2820" max="2823" width="25.1796875" customWidth="1"/>
    <col min="3070" max="3070" width="10.1796875" customWidth="1"/>
    <col min="3071" max="3071" width="12" customWidth="1"/>
    <col min="3072" max="3072" width="17.81640625" customWidth="1"/>
    <col min="3073" max="3073" width="17.26953125" customWidth="1"/>
    <col min="3074" max="3075" width="31" customWidth="1"/>
    <col min="3076" max="3079" width="25.1796875" customWidth="1"/>
    <col min="3326" max="3326" width="10.1796875" customWidth="1"/>
    <col min="3327" max="3327" width="12" customWidth="1"/>
    <col min="3328" max="3328" width="17.81640625" customWidth="1"/>
    <col min="3329" max="3329" width="17.26953125" customWidth="1"/>
    <col min="3330" max="3331" width="31" customWidth="1"/>
    <col min="3332" max="3335" width="25.1796875" customWidth="1"/>
    <col min="3582" max="3582" width="10.1796875" customWidth="1"/>
    <col min="3583" max="3583" width="12" customWidth="1"/>
    <col min="3584" max="3584" width="17.81640625" customWidth="1"/>
    <col min="3585" max="3585" width="17.26953125" customWidth="1"/>
    <col min="3586" max="3587" width="31" customWidth="1"/>
    <col min="3588" max="3591" width="25.1796875" customWidth="1"/>
    <col min="3838" max="3838" width="10.1796875" customWidth="1"/>
    <col min="3839" max="3839" width="12" customWidth="1"/>
    <col min="3840" max="3840" width="17.81640625" customWidth="1"/>
    <col min="3841" max="3841" width="17.26953125" customWidth="1"/>
    <col min="3842" max="3843" width="31" customWidth="1"/>
    <col min="3844" max="3847" width="25.1796875" customWidth="1"/>
    <col min="4094" max="4094" width="10.1796875" customWidth="1"/>
    <col min="4095" max="4095" width="12" customWidth="1"/>
    <col min="4096" max="4096" width="17.81640625" customWidth="1"/>
    <col min="4097" max="4097" width="17.26953125" customWidth="1"/>
    <col min="4098" max="4099" width="31" customWidth="1"/>
    <col min="4100" max="4103" width="25.1796875" customWidth="1"/>
    <col min="4350" max="4350" width="10.1796875" customWidth="1"/>
    <col min="4351" max="4351" width="12" customWidth="1"/>
    <col min="4352" max="4352" width="17.81640625" customWidth="1"/>
    <col min="4353" max="4353" width="17.26953125" customWidth="1"/>
    <col min="4354" max="4355" width="31" customWidth="1"/>
    <col min="4356" max="4359" width="25.1796875" customWidth="1"/>
    <col min="4606" max="4606" width="10.1796875" customWidth="1"/>
    <col min="4607" max="4607" width="12" customWidth="1"/>
    <col min="4608" max="4608" width="17.81640625" customWidth="1"/>
    <col min="4609" max="4609" width="17.26953125" customWidth="1"/>
    <col min="4610" max="4611" width="31" customWidth="1"/>
    <col min="4612" max="4615" width="25.1796875" customWidth="1"/>
    <col min="4862" max="4862" width="10.1796875" customWidth="1"/>
    <col min="4863" max="4863" width="12" customWidth="1"/>
    <col min="4864" max="4864" width="17.81640625" customWidth="1"/>
    <col min="4865" max="4865" width="17.26953125" customWidth="1"/>
    <col min="4866" max="4867" width="31" customWidth="1"/>
    <col min="4868" max="4871" width="25.1796875" customWidth="1"/>
    <col min="5118" max="5118" width="10.1796875" customWidth="1"/>
    <col min="5119" max="5119" width="12" customWidth="1"/>
    <col min="5120" max="5120" width="17.81640625" customWidth="1"/>
    <col min="5121" max="5121" width="17.26953125" customWidth="1"/>
    <col min="5122" max="5123" width="31" customWidth="1"/>
    <col min="5124" max="5127" width="25.1796875" customWidth="1"/>
    <col min="5374" max="5374" width="10.1796875" customWidth="1"/>
    <col min="5375" max="5375" width="12" customWidth="1"/>
    <col min="5376" max="5376" width="17.81640625" customWidth="1"/>
    <col min="5377" max="5377" width="17.26953125" customWidth="1"/>
    <col min="5378" max="5379" width="31" customWidth="1"/>
    <col min="5380" max="5383" width="25.1796875" customWidth="1"/>
    <col min="5630" max="5630" width="10.1796875" customWidth="1"/>
    <col min="5631" max="5631" width="12" customWidth="1"/>
    <col min="5632" max="5632" width="17.81640625" customWidth="1"/>
    <col min="5633" max="5633" width="17.26953125" customWidth="1"/>
    <col min="5634" max="5635" width="31" customWidth="1"/>
    <col min="5636" max="5639" width="25.1796875" customWidth="1"/>
    <col min="5886" max="5886" width="10.1796875" customWidth="1"/>
    <col min="5887" max="5887" width="12" customWidth="1"/>
    <col min="5888" max="5888" width="17.81640625" customWidth="1"/>
    <col min="5889" max="5889" width="17.26953125" customWidth="1"/>
    <col min="5890" max="5891" width="31" customWidth="1"/>
    <col min="5892" max="5895" width="25.1796875" customWidth="1"/>
    <col min="6142" max="6142" width="10.1796875" customWidth="1"/>
    <col min="6143" max="6143" width="12" customWidth="1"/>
    <col min="6144" max="6144" width="17.81640625" customWidth="1"/>
    <col min="6145" max="6145" width="17.26953125" customWidth="1"/>
    <col min="6146" max="6147" width="31" customWidth="1"/>
    <col min="6148" max="6151" width="25.1796875" customWidth="1"/>
    <col min="6398" max="6398" width="10.1796875" customWidth="1"/>
    <col min="6399" max="6399" width="12" customWidth="1"/>
    <col min="6400" max="6400" width="17.81640625" customWidth="1"/>
    <col min="6401" max="6401" width="17.26953125" customWidth="1"/>
    <col min="6402" max="6403" width="31" customWidth="1"/>
    <col min="6404" max="6407" width="25.1796875" customWidth="1"/>
    <col min="6654" max="6654" width="10.1796875" customWidth="1"/>
    <col min="6655" max="6655" width="12" customWidth="1"/>
    <col min="6656" max="6656" width="17.81640625" customWidth="1"/>
    <col min="6657" max="6657" width="17.26953125" customWidth="1"/>
    <col min="6658" max="6659" width="31" customWidth="1"/>
    <col min="6660" max="6663" width="25.1796875" customWidth="1"/>
    <col min="6910" max="6910" width="10.1796875" customWidth="1"/>
    <col min="6911" max="6911" width="12" customWidth="1"/>
    <col min="6912" max="6912" width="17.81640625" customWidth="1"/>
    <col min="6913" max="6913" width="17.26953125" customWidth="1"/>
    <col min="6914" max="6915" width="31" customWidth="1"/>
    <col min="6916" max="6919" width="25.1796875" customWidth="1"/>
    <col min="7166" max="7166" width="10.1796875" customWidth="1"/>
    <col min="7167" max="7167" width="12" customWidth="1"/>
    <col min="7168" max="7168" width="17.81640625" customWidth="1"/>
    <col min="7169" max="7169" width="17.26953125" customWidth="1"/>
    <col min="7170" max="7171" width="31" customWidth="1"/>
    <col min="7172" max="7175" width="25.1796875" customWidth="1"/>
    <col min="7422" max="7422" width="10.1796875" customWidth="1"/>
    <col min="7423" max="7423" width="12" customWidth="1"/>
    <col min="7424" max="7424" width="17.81640625" customWidth="1"/>
    <col min="7425" max="7425" width="17.26953125" customWidth="1"/>
    <col min="7426" max="7427" width="31" customWidth="1"/>
    <col min="7428" max="7431" width="25.1796875" customWidth="1"/>
    <col min="7678" max="7678" width="10.1796875" customWidth="1"/>
    <col min="7679" max="7679" width="12" customWidth="1"/>
    <col min="7680" max="7680" width="17.81640625" customWidth="1"/>
    <col min="7681" max="7681" width="17.26953125" customWidth="1"/>
    <col min="7682" max="7683" width="31" customWidth="1"/>
    <col min="7684" max="7687" width="25.1796875" customWidth="1"/>
    <col min="7934" max="7934" width="10.1796875" customWidth="1"/>
    <col min="7935" max="7935" width="12" customWidth="1"/>
    <col min="7936" max="7936" width="17.81640625" customWidth="1"/>
    <col min="7937" max="7937" width="17.26953125" customWidth="1"/>
    <col min="7938" max="7939" width="31" customWidth="1"/>
    <col min="7940" max="7943" width="25.1796875" customWidth="1"/>
    <col min="8190" max="8190" width="10.1796875" customWidth="1"/>
    <col min="8191" max="8191" width="12" customWidth="1"/>
    <col min="8192" max="8192" width="17.81640625" customWidth="1"/>
    <col min="8193" max="8193" width="17.26953125" customWidth="1"/>
    <col min="8194" max="8195" width="31" customWidth="1"/>
    <col min="8196" max="8199" width="25.1796875" customWidth="1"/>
    <col min="8446" max="8446" width="10.1796875" customWidth="1"/>
    <col min="8447" max="8447" width="12" customWidth="1"/>
    <col min="8448" max="8448" width="17.81640625" customWidth="1"/>
    <col min="8449" max="8449" width="17.26953125" customWidth="1"/>
    <col min="8450" max="8451" width="31" customWidth="1"/>
    <col min="8452" max="8455" width="25.1796875" customWidth="1"/>
    <col min="8702" max="8702" width="10.1796875" customWidth="1"/>
    <col min="8703" max="8703" width="12" customWidth="1"/>
    <col min="8704" max="8704" width="17.81640625" customWidth="1"/>
    <col min="8705" max="8705" width="17.26953125" customWidth="1"/>
    <col min="8706" max="8707" width="31" customWidth="1"/>
    <col min="8708" max="8711" width="25.1796875" customWidth="1"/>
    <col min="8958" max="8958" width="10.1796875" customWidth="1"/>
    <col min="8959" max="8959" width="12" customWidth="1"/>
    <col min="8960" max="8960" width="17.81640625" customWidth="1"/>
    <col min="8961" max="8961" width="17.26953125" customWidth="1"/>
    <col min="8962" max="8963" width="31" customWidth="1"/>
    <col min="8964" max="8967" width="25.1796875" customWidth="1"/>
    <col min="9214" max="9214" width="10.1796875" customWidth="1"/>
    <col min="9215" max="9215" width="12" customWidth="1"/>
    <col min="9216" max="9216" width="17.81640625" customWidth="1"/>
    <col min="9217" max="9217" width="17.26953125" customWidth="1"/>
    <col min="9218" max="9219" width="31" customWidth="1"/>
    <col min="9220" max="9223" width="25.1796875" customWidth="1"/>
    <col min="9470" max="9470" width="10.1796875" customWidth="1"/>
    <col min="9471" max="9471" width="12" customWidth="1"/>
    <col min="9472" max="9472" width="17.81640625" customWidth="1"/>
    <col min="9473" max="9473" width="17.26953125" customWidth="1"/>
    <col min="9474" max="9475" width="31" customWidth="1"/>
    <col min="9476" max="9479" width="25.1796875" customWidth="1"/>
    <col min="9726" max="9726" width="10.1796875" customWidth="1"/>
    <col min="9727" max="9727" width="12" customWidth="1"/>
    <col min="9728" max="9728" width="17.81640625" customWidth="1"/>
    <col min="9729" max="9729" width="17.26953125" customWidth="1"/>
    <col min="9730" max="9731" width="31" customWidth="1"/>
    <col min="9732" max="9735" width="25.1796875" customWidth="1"/>
    <col min="9982" max="9982" width="10.1796875" customWidth="1"/>
    <col min="9983" max="9983" width="12" customWidth="1"/>
    <col min="9984" max="9984" width="17.81640625" customWidth="1"/>
    <col min="9985" max="9985" width="17.26953125" customWidth="1"/>
    <col min="9986" max="9987" width="31" customWidth="1"/>
    <col min="9988" max="9991" width="25.1796875" customWidth="1"/>
    <col min="10238" max="10238" width="10.1796875" customWidth="1"/>
    <col min="10239" max="10239" width="12" customWidth="1"/>
    <col min="10240" max="10240" width="17.81640625" customWidth="1"/>
    <col min="10241" max="10241" width="17.26953125" customWidth="1"/>
    <col min="10242" max="10243" width="31" customWidth="1"/>
    <col min="10244" max="10247" width="25.1796875" customWidth="1"/>
    <col min="10494" max="10494" width="10.1796875" customWidth="1"/>
    <col min="10495" max="10495" width="12" customWidth="1"/>
    <col min="10496" max="10496" width="17.81640625" customWidth="1"/>
    <col min="10497" max="10497" width="17.26953125" customWidth="1"/>
    <col min="10498" max="10499" width="31" customWidth="1"/>
    <col min="10500" max="10503" width="25.1796875" customWidth="1"/>
    <col min="10750" max="10750" width="10.1796875" customWidth="1"/>
    <col min="10751" max="10751" width="12" customWidth="1"/>
    <col min="10752" max="10752" width="17.81640625" customWidth="1"/>
    <col min="10753" max="10753" width="17.26953125" customWidth="1"/>
    <col min="10754" max="10755" width="31" customWidth="1"/>
    <col min="10756" max="10759" width="25.1796875" customWidth="1"/>
    <col min="11006" max="11006" width="10.1796875" customWidth="1"/>
    <col min="11007" max="11007" width="12" customWidth="1"/>
    <col min="11008" max="11008" width="17.81640625" customWidth="1"/>
    <col min="11009" max="11009" width="17.26953125" customWidth="1"/>
    <col min="11010" max="11011" width="31" customWidth="1"/>
    <col min="11012" max="11015" width="25.1796875" customWidth="1"/>
    <col min="11262" max="11262" width="10.1796875" customWidth="1"/>
    <col min="11263" max="11263" width="12" customWidth="1"/>
    <col min="11264" max="11264" width="17.81640625" customWidth="1"/>
    <col min="11265" max="11265" width="17.26953125" customWidth="1"/>
    <col min="11266" max="11267" width="31" customWidth="1"/>
    <col min="11268" max="11271" width="25.1796875" customWidth="1"/>
    <col min="11518" max="11518" width="10.1796875" customWidth="1"/>
    <col min="11519" max="11519" width="12" customWidth="1"/>
    <col min="11520" max="11520" width="17.81640625" customWidth="1"/>
    <col min="11521" max="11521" width="17.26953125" customWidth="1"/>
    <col min="11522" max="11523" width="31" customWidth="1"/>
    <col min="11524" max="11527" width="25.1796875" customWidth="1"/>
    <col min="11774" max="11774" width="10.1796875" customWidth="1"/>
    <col min="11775" max="11775" width="12" customWidth="1"/>
    <col min="11776" max="11776" width="17.81640625" customWidth="1"/>
    <col min="11777" max="11777" width="17.26953125" customWidth="1"/>
    <col min="11778" max="11779" width="31" customWidth="1"/>
    <col min="11780" max="11783" width="25.1796875" customWidth="1"/>
    <col min="12030" max="12030" width="10.1796875" customWidth="1"/>
    <col min="12031" max="12031" width="12" customWidth="1"/>
    <col min="12032" max="12032" width="17.81640625" customWidth="1"/>
    <col min="12033" max="12033" width="17.26953125" customWidth="1"/>
    <col min="12034" max="12035" width="31" customWidth="1"/>
    <col min="12036" max="12039" width="25.1796875" customWidth="1"/>
    <col min="12286" max="12286" width="10.1796875" customWidth="1"/>
    <col min="12287" max="12287" width="12" customWidth="1"/>
    <col min="12288" max="12288" width="17.81640625" customWidth="1"/>
    <col min="12289" max="12289" width="17.26953125" customWidth="1"/>
    <col min="12290" max="12291" width="31" customWidth="1"/>
    <col min="12292" max="12295" width="25.1796875" customWidth="1"/>
    <col min="12542" max="12542" width="10.1796875" customWidth="1"/>
    <col min="12543" max="12543" width="12" customWidth="1"/>
    <col min="12544" max="12544" width="17.81640625" customWidth="1"/>
    <col min="12545" max="12545" width="17.26953125" customWidth="1"/>
    <col min="12546" max="12547" width="31" customWidth="1"/>
    <col min="12548" max="12551" width="25.1796875" customWidth="1"/>
    <col min="12798" max="12798" width="10.1796875" customWidth="1"/>
    <col min="12799" max="12799" width="12" customWidth="1"/>
    <col min="12800" max="12800" width="17.81640625" customWidth="1"/>
    <col min="12801" max="12801" width="17.26953125" customWidth="1"/>
    <col min="12802" max="12803" width="31" customWidth="1"/>
    <col min="12804" max="12807" width="25.1796875" customWidth="1"/>
    <col min="13054" max="13054" width="10.1796875" customWidth="1"/>
    <col min="13055" max="13055" width="12" customWidth="1"/>
    <col min="13056" max="13056" width="17.81640625" customWidth="1"/>
    <col min="13057" max="13057" width="17.26953125" customWidth="1"/>
    <col min="13058" max="13059" width="31" customWidth="1"/>
    <col min="13060" max="13063" width="25.1796875" customWidth="1"/>
    <col min="13310" max="13310" width="10.1796875" customWidth="1"/>
    <col min="13311" max="13311" width="12" customWidth="1"/>
    <col min="13312" max="13312" width="17.81640625" customWidth="1"/>
    <col min="13313" max="13313" width="17.26953125" customWidth="1"/>
    <col min="13314" max="13315" width="31" customWidth="1"/>
    <col min="13316" max="13319" width="25.1796875" customWidth="1"/>
    <col min="13566" max="13566" width="10.1796875" customWidth="1"/>
    <col min="13567" max="13567" width="12" customWidth="1"/>
    <col min="13568" max="13568" width="17.81640625" customWidth="1"/>
    <col min="13569" max="13569" width="17.26953125" customWidth="1"/>
    <col min="13570" max="13571" width="31" customWidth="1"/>
    <col min="13572" max="13575" width="25.1796875" customWidth="1"/>
    <col min="13822" max="13822" width="10.1796875" customWidth="1"/>
    <col min="13823" max="13823" width="12" customWidth="1"/>
    <col min="13824" max="13824" width="17.81640625" customWidth="1"/>
    <col min="13825" max="13825" width="17.26953125" customWidth="1"/>
    <col min="13826" max="13827" width="31" customWidth="1"/>
    <col min="13828" max="13831" width="25.1796875" customWidth="1"/>
    <col min="14078" max="14078" width="10.1796875" customWidth="1"/>
    <col min="14079" max="14079" width="12" customWidth="1"/>
    <col min="14080" max="14080" width="17.81640625" customWidth="1"/>
    <col min="14081" max="14081" width="17.26953125" customWidth="1"/>
    <col min="14082" max="14083" width="31" customWidth="1"/>
    <col min="14084" max="14087" width="25.1796875" customWidth="1"/>
    <col min="14334" max="14334" width="10.1796875" customWidth="1"/>
    <col min="14335" max="14335" width="12" customWidth="1"/>
    <col min="14336" max="14336" width="17.81640625" customWidth="1"/>
    <col min="14337" max="14337" width="17.26953125" customWidth="1"/>
    <col min="14338" max="14339" width="31" customWidth="1"/>
    <col min="14340" max="14343" width="25.1796875" customWidth="1"/>
    <col min="14590" max="14590" width="10.1796875" customWidth="1"/>
    <col min="14591" max="14591" width="12" customWidth="1"/>
    <col min="14592" max="14592" width="17.81640625" customWidth="1"/>
    <col min="14593" max="14593" width="17.26953125" customWidth="1"/>
    <col min="14594" max="14595" width="31" customWidth="1"/>
    <col min="14596" max="14599" width="25.1796875" customWidth="1"/>
    <col min="14846" max="14846" width="10.1796875" customWidth="1"/>
    <col min="14847" max="14847" width="12" customWidth="1"/>
    <col min="14848" max="14848" width="17.81640625" customWidth="1"/>
    <col min="14849" max="14849" width="17.26953125" customWidth="1"/>
    <col min="14850" max="14851" width="31" customWidth="1"/>
    <col min="14852" max="14855" width="25.1796875" customWidth="1"/>
    <col min="15102" max="15102" width="10.1796875" customWidth="1"/>
    <col min="15103" max="15103" width="12" customWidth="1"/>
    <col min="15104" max="15104" width="17.81640625" customWidth="1"/>
    <col min="15105" max="15105" width="17.26953125" customWidth="1"/>
    <col min="15106" max="15107" width="31" customWidth="1"/>
    <col min="15108" max="15111" width="25.1796875" customWidth="1"/>
    <col min="15358" max="15358" width="10.1796875" customWidth="1"/>
    <col min="15359" max="15359" width="12" customWidth="1"/>
    <col min="15360" max="15360" width="17.81640625" customWidth="1"/>
    <col min="15361" max="15361" width="17.26953125" customWidth="1"/>
    <col min="15362" max="15363" width="31" customWidth="1"/>
    <col min="15364" max="15367" width="25.1796875" customWidth="1"/>
    <col min="15614" max="15614" width="10.1796875" customWidth="1"/>
    <col min="15615" max="15615" width="12" customWidth="1"/>
    <col min="15616" max="15616" width="17.81640625" customWidth="1"/>
    <col min="15617" max="15617" width="17.26953125" customWidth="1"/>
    <col min="15618" max="15619" width="31" customWidth="1"/>
    <col min="15620" max="15623" width="25.1796875" customWidth="1"/>
    <col min="15870" max="15870" width="10.1796875" customWidth="1"/>
    <col min="15871" max="15871" width="12" customWidth="1"/>
    <col min="15872" max="15872" width="17.81640625" customWidth="1"/>
    <col min="15873" max="15873" width="17.26953125" customWidth="1"/>
    <col min="15874" max="15875" width="31" customWidth="1"/>
    <col min="15876" max="15879" width="25.1796875" customWidth="1"/>
    <col min="16126" max="16126" width="10.1796875" customWidth="1"/>
    <col min="16127" max="16127" width="12" customWidth="1"/>
    <col min="16128" max="16128" width="17.81640625" customWidth="1"/>
    <col min="16129" max="16129" width="17.26953125" customWidth="1"/>
    <col min="16130" max="16131" width="31" customWidth="1"/>
    <col min="16132" max="16135" width="25.1796875" customWidth="1"/>
  </cols>
  <sheetData>
    <row r="2" spans="2:7" ht="22" x14ac:dyDescent="0.65">
      <c r="B2" s="782" t="s">
        <v>409</v>
      </c>
    </row>
    <row r="6" spans="2:7" ht="13" x14ac:dyDescent="0.3">
      <c r="B6" s="783" t="s">
        <v>204</v>
      </c>
    </row>
    <row r="7" spans="2:7" x14ac:dyDescent="0.25">
      <c r="B7" s="1268"/>
    </row>
    <row r="8" spans="2:7" ht="13" thickBot="1" x14ac:dyDescent="0.3">
      <c r="B8" s="784"/>
    </row>
    <row r="9" spans="2:7" ht="78.5" thickBot="1" x14ac:dyDescent="0.3">
      <c r="B9" s="784"/>
      <c r="D9" s="1473" t="s">
        <v>1380</v>
      </c>
      <c r="E9" s="1474" t="s">
        <v>1092</v>
      </c>
      <c r="F9" s="1474" t="s">
        <v>1381</v>
      </c>
      <c r="G9" s="1475" t="s">
        <v>1382</v>
      </c>
    </row>
    <row r="10" spans="2:7" ht="87.5" x14ac:dyDescent="0.25">
      <c r="B10" s="784"/>
      <c r="D10" s="1476" t="s">
        <v>1383</v>
      </c>
      <c r="E10" s="1477">
        <v>0.82</v>
      </c>
      <c r="F10" s="1478" t="s">
        <v>1384</v>
      </c>
      <c r="G10" s="1479" t="s">
        <v>1385</v>
      </c>
    </row>
    <row r="11" spans="2:7" ht="37.5" x14ac:dyDescent="0.25">
      <c r="B11" s="784"/>
      <c r="D11" s="1480" t="s">
        <v>1386</v>
      </c>
      <c r="E11" s="1481">
        <v>0.9</v>
      </c>
      <c r="F11" s="1482" t="s">
        <v>1387</v>
      </c>
      <c r="G11" s="1479" t="s">
        <v>1388</v>
      </c>
    </row>
    <row r="12" spans="2:7" ht="37.5" x14ac:dyDescent="0.25">
      <c r="B12" s="784"/>
      <c r="D12" s="1480" t="s">
        <v>1389</v>
      </c>
      <c r="E12" s="1481">
        <v>0.8</v>
      </c>
      <c r="F12" s="1482" t="s">
        <v>1390</v>
      </c>
      <c r="G12" s="1479" t="s">
        <v>1391</v>
      </c>
    </row>
    <row r="13" spans="2:7" x14ac:dyDescent="0.25">
      <c r="B13" s="784"/>
    </row>
    <row r="14" spans="2:7" x14ac:dyDescent="0.25">
      <c r="B14" s="784"/>
    </row>
    <row r="15" spans="2:7" x14ac:dyDescent="0.25">
      <c r="B15" s="784"/>
    </row>
    <row r="16" spans="2:7" x14ac:dyDescent="0.25">
      <c r="B16" s="784"/>
    </row>
    <row r="17" spans="2:7" x14ac:dyDescent="0.25">
      <c r="B17" s="784"/>
    </row>
    <row r="18" spans="2:7" x14ac:dyDescent="0.25">
      <c r="B18" s="784"/>
    </row>
    <row r="19" spans="2:7" x14ac:dyDescent="0.25">
      <c r="B19" s="784"/>
    </row>
    <row r="20" spans="2:7" x14ac:dyDescent="0.25">
      <c r="B20" s="784"/>
    </row>
    <row r="21" spans="2:7" x14ac:dyDescent="0.25">
      <c r="B21" s="784"/>
    </row>
    <row r="22" spans="2:7" x14ac:dyDescent="0.25">
      <c r="B22" s="784"/>
    </row>
    <row r="23" spans="2:7" x14ac:dyDescent="0.25">
      <c r="B23" s="784"/>
    </row>
    <row r="24" spans="2:7" x14ac:dyDescent="0.25">
      <c r="B24" s="784"/>
    </row>
    <row r="25" spans="2:7" x14ac:dyDescent="0.25">
      <c r="B25" s="784"/>
    </row>
    <row r="26" spans="2:7" x14ac:dyDescent="0.25">
      <c r="B26" s="784"/>
    </row>
    <row r="27" spans="2:7" x14ac:dyDescent="0.25">
      <c r="B27" s="784"/>
    </row>
    <row r="28" spans="2:7" x14ac:dyDescent="0.25">
      <c r="B28" s="784"/>
    </row>
    <row r="29" spans="2:7" ht="13" x14ac:dyDescent="0.3">
      <c r="B29" s="785" t="s">
        <v>205</v>
      </c>
    </row>
    <row r="30" spans="2:7" ht="13" thickBot="1" x14ac:dyDescent="0.3">
      <c r="B30" s="1268"/>
    </row>
    <row r="31" spans="2:7" ht="13.5" thickBot="1" x14ac:dyDescent="0.35">
      <c r="B31" s="1483" t="s">
        <v>1392</v>
      </c>
      <c r="C31" s="1484">
        <v>1</v>
      </c>
      <c r="D31" s="1484">
        <v>2</v>
      </c>
      <c r="E31" s="1484">
        <v>3</v>
      </c>
      <c r="F31" s="1484">
        <v>4</v>
      </c>
      <c r="G31" s="1484">
        <v>5</v>
      </c>
    </row>
    <row r="32" spans="2:7" ht="13" x14ac:dyDescent="0.3">
      <c r="B32" s="1485"/>
      <c r="C32" s="1486" t="s">
        <v>1393</v>
      </c>
      <c r="D32" s="1486" t="s">
        <v>1088</v>
      </c>
      <c r="E32" s="1486" t="s">
        <v>1394</v>
      </c>
      <c r="F32" s="1486" t="s">
        <v>872</v>
      </c>
      <c r="G32" s="1486" t="s">
        <v>1395</v>
      </c>
    </row>
    <row r="33" spans="2:7" x14ac:dyDescent="0.25">
      <c r="B33" s="1487" t="s">
        <v>1396</v>
      </c>
      <c r="C33" s="1487" t="s">
        <v>1397</v>
      </c>
      <c r="D33" s="1487" t="s">
        <v>1397</v>
      </c>
      <c r="E33" s="1487" t="s">
        <v>1397</v>
      </c>
      <c r="F33" s="1487" t="s">
        <v>1397</v>
      </c>
      <c r="G33" s="1487" t="s">
        <v>1397</v>
      </c>
    </row>
    <row r="34" spans="2:7" x14ac:dyDescent="0.25">
      <c r="B34" s="1487" t="s">
        <v>1398</v>
      </c>
      <c r="C34" s="1488">
        <v>0</v>
      </c>
      <c r="D34" s="1488">
        <v>0</v>
      </c>
      <c r="E34" s="1488">
        <v>9.2999999999999992E-3</v>
      </c>
      <c r="F34" s="1488">
        <v>0</v>
      </c>
      <c r="G34" s="1488">
        <v>7.27519E-3</v>
      </c>
    </row>
    <row r="35" spans="2:7" x14ac:dyDescent="0.25">
      <c r="B35" s="1487" t="s">
        <v>1399</v>
      </c>
      <c r="C35" s="1488">
        <v>0.9</v>
      </c>
      <c r="D35" s="1488">
        <v>0</v>
      </c>
      <c r="E35" s="1488">
        <v>0</v>
      </c>
      <c r="F35" s="1488">
        <v>0</v>
      </c>
      <c r="G35" s="1488">
        <v>0</v>
      </c>
    </row>
    <row r="36" spans="2:7" x14ac:dyDescent="0.25">
      <c r="B36" s="1487" t="s">
        <v>1400</v>
      </c>
      <c r="C36" s="1488">
        <v>0.05</v>
      </c>
      <c r="D36" s="1488">
        <v>0</v>
      </c>
      <c r="E36" s="1488">
        <v>0</v>
      </c>
      <c r="F36" s="1488">
        <v>0</v>
      </c>
      <c r="G36" s="1488">
        <v>0</v>
      </c>
    </row>
    <row r="37" spans="2:7" x14ac:dyDescent="0.25">
      <c r="B37" s="1487" t="s">
        <v>1401</v>
      </c>
      <c r="C37" s="1488">
        <v>0</v>
      </c>
      <c r="D37" s="1488">
        <v>0</v>
      </c>
      <c r="E37" s="1488">
        <v>4.0000000000000002E-4</v>
      </c>
      <c r="F37" s="1488">
        <v>1.3086300000000001E-3</v>
      </c>
      <c r="G37" s="1488">
        <v>0.16765189999999999</v>
      </c>
    </row>
    <row r="38" spans="2:7" x14ac:dyDescent="0.25">
      <c r="B38" s="1487" t="s">
        <v>1402</v>
      </c>
      <c r="C38" s="1488">
        <v>0</v>
      </c>
      <c r="D38" s="1488">
        <v>0</v>
      </c>
      <c r="E38" s="1488">
        <v>0</v>
      </c>
      <c r="F38" s="1488">
        <v>0.99471929999999997</v>
      </c>
      <c r="G38" s="1488">
        <v>0</v>
      </c>
    </row>
    <row r="39" spans="2:7" x14ac:dyDescent="0.25">
      <c r="B39" s="1487" t="s">
        <v>1403</v>
      </c>
      <c r="C39" s="1488">
        <v>0</v>
      </c>
      <c r="D39" s="1488">
        <v>1</v>
      </c>
      <c r="E39" s="1488">
        <v>1.01E-2</v>
      </c>
      <c r="F39" s="1488">
        <v>0</v>
      </c>
      <c r="G39" s="1488">
        <v>0.18346290000000001</v>
      </c>
    </row>
    <row r="40" spans="2:7" x14ac:dyDescent="0.25">
      <c r="B40" s="1487" t="s">
        <v>1404</v>
      </c>
      <c r="C40" s="1488">
        <v>0.05</v>
      </c>
      <c r="D40" s="1488">
        <v>0</v>
      </c>
      <c r="E40" s="1488">
        <v>0.77239999999999998</v>
      </c>
      <c r="F40" s="1488">
        <v>3.9720399999999996E-3</v>
      </c>
      <c r="G40" s="1488">
        <v>0.61154430000000004</v>
      </c>
    </row>
    <row r="41" spans="2:7" x14ac:dyDescent="0.25">
      <c r="B41" s="1487" t="s">
        <v>1405</v>
      </c>
      <c r="C41" s="1488">
        <v>0</v>
      </c>
      <c r="D41" s="1488">
        <v>0</v>
      </c>
      <c r="E41" s="1488">
        <v>0.20780000000000001</v>
      </c>
      <c r="F41" s="1488">
        <v>0</v>
      </c>
      <c r="G41" s="1488">
        <v>3.0065700000000001E-2</v>
      </c>
    </row>
    <row r="42" spans="2:7" x14ac:dyDescent="0.25">
      <c r="B42" s="1487"/>
      <c r="C42" s="1488"/>
      <c r="D42" s="1488"/>
      <c r="E42" s="1488"/>
      <c r="F42" s="1488"/>
      <c r="G42" s="1488"/>
    </row>
    <row r="43" spans="2:7" x14ac:dyDescent="0.25">
      <c r="B43" s="1487" t="s">
        <v>1406</v>
      </c>
      <c r="C43" s="1489" t="s">
        <v>1407</v>
      </c>
      <c r="D43" s="1489" t="s">
        <v>1407</v>
      </c>
      <c r="E43" s="1489" t="s">
        <v>1407</v>
      </c>
      <c r="F43" s="1489" t="s">
        <v>1407</v>
      </c>
      <c r="G43" s="1488" t="s">
        <v>1408</v>
      </c>
    </row>
    <row r="44" spans="2:7" x14ac:dyDescent="0.25">
      <c r="B44" s="1487"/>
      <c r="C44" s="1488"/>
      <c r="D44" s="1488"/>
      <c r="E44" s="1488"/>
      <c r="F44" s="1488"/>
      <c r="G44" s="1488"/>
    </row>
    <row r="45" spans="2:7" x14ac:dyDescent="0.25">
      <c r="B45" s="1487" t="s">
        <v>1409</v>
      </c>
      <c r="C45" s="1490">
        <v>6980.5</v>
      </c>
      <c r="D45" s="1490">
        <v>24431.75</v>
      </c>
      <c r="E45" s="1490">
        <v>29489.45</v>
      </c>
      <c r="F45" s="1490">
        <v>16102.31</v>
      </c>
      <c r="G45" s="1490">
        <v>37696.85</v>
      </c>
    </row>
    <row r="46" spans="2:7" x14ac:dyDescent="0.25">
      <c r="B46" s="1487" t="s">
        <v>1410</v>
      </c>
      <c r="C46" s="1490">
        <v>121060</v>
      </c>
      <c r="D46" s="1490">
        <v>440145</v>
      </c>
      <c r="E46" s="1490">
        <v>851008</v>
      </c>
      <c r="F46" s="1490">
        <v>35008</v>
      </c>
      <c r="G46" s="1490">
        <v>1095760</v>
      </c>
    </row>
    <row r="47" spans="2:7" x14ac:dyDescent="0.25">
      <c r="B47" s="1487"/>
      <c r="C47" s="1490"/>
      <c r="D47" s="1490"/>
      <c r="E47" s="1490"/>
      <c r="F47" s="1490"/>
      <c r="G47" s="1490"/>
    </row>
    <row r="48" spans="2:7" x14ac:dyDescent="0.25">
      <c r="B48" s="1487" t="s">
        <v>1411</v>
      </c>
      <c r="C48" s="1491">
        <v>59</v>
      </c>
      <c r="D48" s="1491">
        <v>750</v>
      </c>
      <c r="E48" s="1491">
        <v>60</v>
      </c>
      <c r="F48" s="1491">
        <v>108</v>
      </c>
      <c r="G48" s="1491">
        <v>280.04079999999999</v>
      </c>
    </row>
    <row r="49" spans="2:7" ht="13" thickBot="1" x14ac:dyDescent="0.3">
      <c r="B49" s="1492" t="s">
        <v>1412</v>
      </c>
      <c r="C49" s="1493">
        <v>450</v>
      </c>
      <c r="D49" s="1493">
        <v>450</v>
      </c>
      <c r="E49" s="1493">
        <v>14.696</v>
      </c>
      <c r="F49" s="1493">
        <v>346</v>
      </c>
      <c r="G49" s="1493">
        <v>14.7</v>
      </c>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5"/>
  <sheetViews>
    <sheetView zoomScaleNormal="100" workbookViewId="0">
      <pane ySplit="7" topLeftCell="A23" activePane="bottomLeft" state="frozen"/>
      <selection pane="bottomLeft" activeCell="C32" sqref="C32"/>
    </sheetView>
  </sheetViews>
  <sheetFormatPr defaultColWidth="9.1796875" defaultRowHeight="12.5" x14ac:dyDescent="0.25"/>
  <cols>
    <col min="1" max="1" width="4.453125" style="464" customWidth="1"/>
    <col min="2" max="2" width="62.81640625" style="29" customWidth="1"/>
    <col min="3" max="3" width="21.1796875" style="29" customWidth="1"/>
    <col min="4" max="4" width="20.1796875" style="29" customWidth="1"/>
    <col min="5" max="5" width="24.26953125" style="29" customWidth="1"/>
    <col min="6" max="6" width="21.81640625" style="29" customWidth="1"/>
    <col min="7" max="7" width="16.26953125" style="29" customWidth="1"/>
    <col min="8" max="8" width="33.7265625" style="29" bestFit="1" customWidth="1"/>
    <col min="9" max="9" width="38" style="29" bestFit="1" customWidth="1"/>
    <col min="10" max="10" width="47.26953125" style="29" customWidth="1"/>
    <col min="11" max="11" width="18.453125" style="29" customWidth="1"/>
    <col min="12" max="16384" width="9.1796875" style="29"/>
  </cols>
  <sheetData>
    <row r="1" spans="1:8" ht="8.5" customHeight="1" thickBot="1" x14ac:dyDescent="0.3">
      <c r="A1" s="985" t="s">
        <v>1288</v>
      </c>
    </row>
    <row r="2" spans="1:8" ht="27" customHeight="1" thickBot="1" x14ac:dyDescent="0.3">
      <c r="A2" s="465"/>
      <c r="B2" s="1539" t="s">
        <v>1423</v>
      </c>
      <c r="C2" s="1540"/>
      <c r="D2" s="1540"/>
      <c r="E2" s="1541"/>
      <c r="F2" s="1541"/>
      <c r="G2" s="1542"/>
    </row>
    <row r="3" spans="1:8" ht="19.899999999999999" customHeight="1" thickBot="1" x14ac:dyDescent="0.3">
      <c r="A3" s="465" t="s">
        <v>1042</v>
      </c>
      <c r="B3" s="1543" t="s">
        <v>1419</v>
      </c>
      <c r="C3" s="1544"/>
      <c r="D3" s="1545"/>
      <c r="E3" s="318"/>
      <c r="F3" s="319"/>
      <c r="G3" s="320"/>
    </row>
    <row r="4" spans="1:8" ht="6.65" customHeight="1" thickBot="1" x14ac:dyDescent="0.3">
      <c r="A4" s="465"/>
      <c r="B4" s="504"/>
      <c r="C4" s="505"/>
      <c r="D4" s="1546"/>
      <c r="E4" s="1546"/>
      <c r="F4" s="496"/>
      <c r="G4" s="497"/>
    </row>
    <row r="5" spans="1:8" ht="22.5" thickTop="1" x14ac:dyDescent="0.25">
      <c r="A5" s="465"/>
      <c r="B5" s="776" t="s">
        <v>1067</v>
      </c>
      <c r="C5" s="777"/>
      <c r="D5" s="778"/>
      <c r="E5" s="778"/>
      <c r="F5" s="499"/>
      <c r="G5" s="501"/>
    </row>
    <row r="6" spans="1:8" ht="21" customHeight="1" x14ac:dyDescent="0.25">
      <c r="A6" s="465"/>
      <c r="B6" s="1244" t="s">
        <v>203</v>
      </c>
      <c r="C6" s="505"/>
      <c r="D6" s="1200"/>
      <c r="E6" s="1200"/>
      <c r="F6" s="496"/>
      <c r="G6" s="497"/>
    </row>
    <row r="7" spans="1:8" ht="20" x14ac:dyDescent="0.25">
      <c r="A7" s="465"/>
      <c r="B7" s="1245"/>
      <c r="C7" s="505"/>
      <c r="D7" s="772"/>
      <c r="E7" s="772"/>
      <c r="F7" s="496"/>
      <c r="G7" s="497"/>
    </row>
    <row r="8" spans="1:8" ht="29.25" customHeight="1" x14ac:dyDescent="0.25">
      <c r="A8" s="465"/>
      <c r="B8" s="1244" t="s">
        <v>198</v>
      </c>
      <c r="C8" s="505"/>
      <c r="D8" s="1127"/>
      <c r="E8" s="1127"/>
      <c r="F8" s="496"/>
      <c r="G8" s="497"/>
    </row>
    <row r="9" spans="1:8" ht="20" x14ac:dyDescent="0.25">
      <c r="A9" s="465"/>
      <c r="B9" s="1245"/>
      <c r="C9" s="505"/>
      <c r="D9" s="505"/>
      <c r="E9" s="505"/>
      <c r="F9" s="496"/>
      <c r="G9" s="497"/>
    </row>
    <row r="10" spans="1:8" ht="20" x14ac:dyDescent="0.25">
      <c r="A10" s="465"/>
      <c r="B10" s="1244" t="s">
        <v>197</v>
      </c>
      <c r="C10" s="505"/>
      <c r="D10" s="505"/>
      <c r="E10" s="505"/>
      <c r="F10" s="496"/>
      <c r="G10" s="497"/>
    </row>
    <row r="11" spans="1:8" ht="20" x14ac:dyDescent="0.25">
      <c r="A11" s="465"/>
      <c r="B11" s="504"/>
      <c r="C11" s="505"/>
      <c r="D11" s="505"/>
      <c r="E11" s="505"/>
      <c r="F11" s="496"/>
      <c r="G11" s="497"/>
    </row>
    <row r="12" spans="1:8" ht="20" x14ac:dyDescent="0.25">
      <c r="A12" s="465"/>
      <c r="B12" s="504"/>
      <c r="C12" s="505"/>
      <c r="D12" s="505"/>
      <c r="E12" s="505"/>
      <c r="F12" s="496"/>
      <c r="G12" s="497"/>
    </row>
    <row r="13" spans="1:8" ht="20" x14ac:dyDescent="0.25">
      <c r="A13" s="465"/>
      <c r="B13" s="504"/>
      <c r="C13" s="505"/>
      <c r="D13" s="505"/>
      <c r="E13" s="505"/>
      <c r="F13" s="496"/>
      <c r="G13" s="497"/>
    </row>
    <row r="14" spans="1:8" ht="20" x14ac:dyDescent="0.25">
      <c r="A14" s="465"/>
      <c r="B14" s="831" t="s">
        <v>322</v>
      </c>
      <c r="C14" s="505"/>
      <c r="D14" s="505"/>
      <c r="E14" s="505"/>
      <c r="F14" s="505"/>
      <c r="G14" s="497"/>
    </row>
    <row r="15" spans="1:8" ht="20" x14ac:dyDescent="0.25">
      <c r="A15" s="465"/>
      <c r="B15" s="831" t="s">
        <v>372</v>
      </c>
      <c r="C15" s="505"/>
      <c r="D15" s="505"/>
      <c r="E15" s="505"/>
      <c r="F15" s="505"/>
      <c r="G15" s="497"/>
    </row>
    <row r="16" spans="1:8" ht="20" x14ac:dyDescent="0.25">
      <c r="A16" s="465"/>
      <c r="B16" s="831" t="s">
        <v>143</v>
      </c>
      <c r="C16" s="505"/>
      <c r="D16" s="505"/>
      <c r="E16" s="505"/>
      <c r="F16" s="505"/>
      <c r="G16" s="497"/>
      <c r="H16" s="1196" t="s">
        <v>1178</v>
      </c>
    </row>
    <row r="17" spans="1:8" ht="20" x14ac:dyDescent="0.25">
      <c r="A17" s="465"/>
      <c r="B17" s="831" t="s">
        <v>951</v>
      </c>
      <c r="C17" s="505"/>
      <c r="D17" s="505"/>
      <c r="E17" s="505"/>
      <c r="F17" s="505"/>
      <c r="G17" s="497"/>
      <c r="H17" s="1197">
        <f ca="1">+NPV</f>
        <v>1.7183245081931535E-6</v>
      </c>
    </row>
    <row r="18" spans="1:8" ht="20" x14ac:dyDescent="0.25">
      <c r="A18" s="465"/>
      <c r="B18" s="831" t="s">
        <v>354</v>
      </c>
      <c r="C18" s="505"/>
      <c r="D18" s="505"/>
      <c r="E18" s="505"/>
      <c r="F18" s="505"/>
      <c r="G18" s="497"/>
    </row>
    <row r="19" spans="1:8" ht="20" x14ac:dyDescent="0.25">
      <c r="A19" s="465"/>
      <c r="B19" s="831" t="s">
        <v>952</v>
      </c>
      <c r="C19" s="505"/>
      <c r="D19" s="505"/>
      <c r="E19" s="505"/>
      <c r="F19" s="505"/>
      <c r="G19" s="497"/>
    </row>
    <row r="20" spans="1:8" ht="20" x14ac:dyDescent="0.25">
      <c r="A20" s="465"/>
      <c r="B20" s="831" t="s">
        <v>953</v>
      </c>
      <c r="C20" s="505"/>
      <c r="D20" s="505"/>
      <c r="E20" s="505"/>
      <c r="F20" s="505"/>
      <c r="G20" s="497"/>
    </row>
    <row r="21" spans="1:8" ht="5.5" customHeight="1" x14ac:dyDescent="0.25">
      <c r="A21" s="465"/>
      <c r="B21" s="829"/>
      <c r="C21" s="505"/>
      <c r="D21" s="772"/>
      <c r="E21" s="772"/>
      <c r="F21" s="496"/>
      <c r="G21" s="497"/>
    </row>
    <row r="22" spans="1:8" ht="5.5" customHeight="1" x14ac:dyDescent="0.25">
      <c r="A22" s="465"/>
      <c r="E22" s="772"/>
      <c r="F22" s="496"/>
      <c r="G22" s="497"/>
    </row>
    <row r="23" spans="1:8" ht="5.5" customHeight="1" thickBot="1" x14ac:dyDescent="0.3">
      <c r="A23" s="465"/>
      <c r="B23" s="504"/>
      <c r="C23" s="505"/>
      <c r="D23" s="772"/>
      <c r="E23" s="772"/>
      <c r="F23" s="496"/>
      <c r="G23" s="497"/>
    </row>
    <row r="24" spans="1:8" ht="31.5" customHeight="1" thickTop="1" thickBot="1" x14ac:dyDescent="0.3">
      <c r="A24" s="465"/>
      <c r="B24" s="498" t="s">
        <v>322</v>
      </c>
      <c r="C24" s="500"/>
      <c r="D24" s="500"/>
      <c r="E24" s="1525" t="s">
        <v>441</v>
      </c>
      <c r="F24" s="1525"/>
      <c r="G24" s="1526"/>
    </row>
    <row r="25" spans="1:8" ht="17.149999999999999" customHeight="1" thickBot="1" x14ac:dyDescent="0.3">
      <c r="A25" s="465" t="s">
        <v>8</v>
      </c>
      <c r="B25" s="321" t="s">
        <v>334</v>
      </c>
      <c r="C25" s="856">
        <f ca="1">0.9*sensitivity_01</f>
        <v>0.9</v>
      </c>
      <c r="D25" s="471"/>
      <c r="E25" s="1532"/>
      <c r="F25" s="1532"/>
      <c r="G25" s="1533"/>
    </row>
    <row r="26" spans="1:8" ht="17.149999999999999" customHeight="1" thickBot="1" x14ac:dyDescent="0.3">
      <c r="A26" s="465" t="s">
        <v>26</v>
      </c>
      <c r="B26" s="321" t="s">
        <v>335</v>
      </c>
      <c r="C26" s="556">
        <f ca="1">379387*sensitivity_02</f>
        <v>379387</v>
      </c>
      <c r="D26" s="471"/>
      <c r="E26" s="1532"/>
      <c r="F26" s="1532"/>
      <c r="G26" s="1533"/>
    </row>
    <row r="27" spans="1:8" ht="17.149999999999999" customHeight="1" thickBot="1" x14ac:dyDescent="0.3">
      <c r="A27" s="465"/>
      <c r="B27" s="321" t="s">
        <v>430</v>
      </c>
      <c r="C27" s="857">
        <f ca="1">design_cap*cap_factor</f>
        <v>341448.3</v>
      </c>
      <c r="D27" s="471"/>
      <c r="E27" s="242"/>
      <c r="F27" s="242"/>
      <c r="G27" s="553"/>
    </row>
    <row r="28" spans="1:8" ht="17.149999999999999" customHeight="1" thickBot="1" x14ac:dyDescent="0.3">
      <c r="A28" s="465" t="s">
        <v>1009</v>
      </c>
      <c r="B28" s="321" t="s">
        <v>20</v>
      </c>
      <c r="C28" s="502">
        <f ca="1">output_kgpday*365</f>
        <v>124628629.5</v>
      </c>
      <c r="D28" s="471"/>
      <c r="E28" s="1536"/>
      <c r="F28" s="1532"/>
      <c r="G28" s="1533"/>
    </row>
    <row r="29" spans="1:8" ht="20.149999999999999" customHeight="1" thickTop="1" thickBot="1" x14ac:dyDescent="0.3">
      <c r="A29" s="465"/>
      <c r="B29" s="498" t="s">
        <v>372</v>
      </c>
      <c r="C29" s="500"/>
      <c r="D29" s="503"/>
      <c r="E29" s="1525" t="s">
        <v>1099</v>
      </c>
      <c r="F29" s="1525"/>
      <c r="G29" s="1526"/>
    </row>
    <row r="30" spans="1:8" ht="17.149999999999999" customHeight="1" thickBot="1" x14ac:dyDescent="0.3">
      <c r="A30" s="465" t="s">
        <v>1025</v>
      </c>
      <c r="B30" s="322" t="s">
        <v>1026</v>
      </c>
      <c r="C30" s="1269">
        <v>2016</v>
      </c>
      <c r="D30" s="471"/>
      <c r="E30" s="1523"/>
      <c r="F30" s="1523"/>
      <c r="G30" s="1524"/>
    </row>
    <row r="31" spans="1:8" ht="17.149999999999999" customHeight="1" thickBot="1" x14ac:dyDescent="0.3">
      <c r="A31" s="465" t="s">
        <v>182</v>
      </c>
      <c r="B31" s="321" t="s">
        <v>373</v>
      </c>
      <c r="C31" s="1269">
        <v>2040</v>
      </c>
      <c r="D31" s="471"/>
      <c r="E31" s="1523"/>
      <c r="F31" s="1523"/>
      <c r="G31" s="1524"/>
    </row>
    <row r="32" spans="1:8" ht="17.149999999999999" customHeight="1" thickBot="1" x14ac:dyDescent="0.3">
      <c r="A32" s="465"/>
      <c r="B32" s="321" t="s">
        <v>841</v>
      </c>
      <c r="C32" s="858">
        <v>2005</v>
      </c>
      <c r="D32" s="1547" t="s">
        <v>1098</v>
      </c>
      <c r="E32" s="1003"/>
      <c r="F32" s="1003"/>
      <c r="G32" s="1004"/>
    </row>
    <row r="33" spans="1:7" ht="17.149999999999999" customHeight="1" thickBot="1" x14ac:dyDescent="0.3">
      <c r="A33" s="465" t="s">
        <v>10</v>
      </c>
      <c r="B33" s="321" t="s">
        <v>374</v>
      </c>
      <c r="C33" s="858">
        <v>3</v>
      </c>
      <c r="D33" s="1547"/>
      <c r="E33" s="1537"/>
      <c r="F33" s="1537"/>
      <c r="G33" s="1538"/>
    </row>
    <row r="34" spans="1:7" ht="17.149999999999999" customHeight="1" thickBot="1" x14ac:dyDescent="0.3">
      <c r="A34" s="465" t="s">
        <v>161</v>
      </c>
      <c r="B34" s="321" t="s">
        <v>945</v>
      </c>
      <c r="C34" s="859">
        <v>0.08</v>
      </c>
      <c r="D34" s="987"/>
      <c r="E34" s="1523"/>
      <c r="F34" s="1523"/>
      <c r="G34" s="1524"/>
    </row>
    <row r="35" spans="1:7" ht="17.149999999999999" customHeight="1" thickBot="1" x14ac:dyDescent="0.3">
      <c r="A35" s="465" t="s">
        <v>162</v>
      </c>
      <c r="B35" s="321" t="s">
        <v>375</v>
      </c>
      <c r="C35" s="859">
        <v>0.6</v>
      </c>
      <c r="D35" s="987"/>
      <c r="E35" s="1523"/>
      <c r="F35" s="1523"/>
      <c r="G35" s="1524"/>
    </row>
    <row r="36" spans="1:7" ht="17.149999999999999" customHeight="1" thickBot="1" x14ac:dyDescent="0.3">
      <c r="A36" s="465" t="s">
        <v>163</v>
      </c>
      <c r="B36" s="323" t="s">
        <v>376</v>
      </c>
      <c r="C36" s="859">
        <v>0.32</v>
      </c>
      <c r="D36" s="987"/>
      <c r="E36" s="1523"/>
      <c r="F36" s="1523"/>
      <c r="G36" s="1524"/>
    </row>
    <row r="37" spans="1:7" ht="17.149999999999999" customHeight="1" thickBot="1" x14ac:dyDescent="0.3">
      <c r="A37" s="465" t="s">
        <v>164</v>
      </c>
      <c r="B37" s="323" t="s">
        <v>323</v>
      </c>
      <c r="C37" s="859"/>
      <c r="D37" s="471"/>
      <c r="E37" s="1523"/>
      <c r="F37" s="1523"/>
      <c r="G37" s="1524"/>
    </row>
    <row r="38" spans="1:7" ht="17.149999999999999" customHeight="1" thickBot="1" x14ac:dyDescent="0.3">
      <c r="A38" s="465" t="s">
        <v>181</v>
      </c>
      <c r="B38" s="321" t="s">
        <v>378</v>
      </c>
      <c r="C38" s="858">
        <v>1</v>
      </c>
      <c r="D38" s="471"/>
      <c r="E38" s="1523"/>
      <c r="F38" s="1523"/>
      <c r="G38" s="1524"/>
    </row>
    <row r="39" spans="1:7" ht="17.149999999999999" customHeight="1" thickBot="1" x14ac:dyDescent="0.3">
      <c r="A39" s="465" t="s">
        <v>170</v>
      </c>
      <c r="B39" s="321" t="s">
        <v>379</v>
      </c>
      <c r="C39" s="858">
        <v>40</v>
      </c>
      <c r="D39" s="471"/>
      <c r="E39" s="1523"/>
      <c r="F39" s="1523"/>
      <c r="G39" s="1524"/>
    </row>
    <row r="40" spans="1:7" ht="17.149999999999999" customHeight="1" thickBot="1" x14ac:dyDescent="0.3">
      <c r="A40" s="465" t="s">
        <v>7</v>
      </c>
      <c r="B40" s="321" t="s">
        <v>380</v>
      </c>
      <c r="C40" s="858">
        <v>40</v>
      </c>
      <c r="D40" s="471"/>
      <c r="E40" s="1523"/>
      <c r="F40" s="1523"/>
      <c r="G40" s="1524"/>
    </row>
    <row r="41" spans="1:7" ht="17.149999999999999" customHeight="1" thickBot="1" x14ac:dyDescent="0.3">
      <c r="A41" s="465" t="s">
        <v>24</v>
      </c>
      <c r="B41" s="321" t="s">
        <v>381</v>
      </c>
      <c r="C41" s="858">
        <v>20</v>
      </c>
      <c r="D41" s="471"/>
      <c r="E41" s="1523"/>
      <c r="F41" s="1523"/>
      <c r="G41" s="1524"/>
    </row>
    <row r="42" spans="1:7" ht="17.149999999999999" customHeight="1" thickBot="1" x14ac:dyDescent="0.3">
      <c r="A42" s="465" t="s">
        <v>25</v>
      </c>
      <c r="B42" s="321" t="s">
        <v>389</v>
      </c>
      <c r="C42" s="858" t="s">
        <v>438</v>
      </c>
      <c r="D42" s="471"/>
      <c r="E42" s="1523"/>
      <c r="F42" s="1523"/>
      <c r="G42" s="1524"/>
    </row>
    <row r="43" spans="1:7" ht="17.149999999999999" customHeight="1" thickBot="1" x14ac:dyDescent="0.3">
      <c r="A43" s="465" t="s">
        <v>247</v>
      </c>
      <c r="B43" s="321" t="s">
        <v>19</v>
      </c>
      <c r="C43" s="860">
        <v>0.4</v>
      </c>
      <c r="D43" s="471"/>
      <c r="E43" s="1523"/>
      <c r="F43" s="1523"/>
      <c r="G43" s="1524"/>
    </row>
    <row r="44" spans="1:7" ht="17.149999999999999" customHeight="1" thickBot="1" x14ac:dyDescent="0.3">
      <c r="A44" s="465" t="s">
        <v>13</v>
      </c>
      <c r="B44" s="321" t="s">
        <v>388</v>
      </c>
      <c r="C44" s="1442">
        <v>3.6999999999999998E-2</v>
      </c>
      <c r="D44" s="471"/>
      <c r="E44" s="1530"/>
      <c r="F44" s="1523"/>
      <c r="G44" s="1524"/>
    </row>
    <row r="45" spans="1:7" ht="17.149999999999999" customHeight="1" thickBot="1" x14ac:dyDescent="0.3">
      <c r="A45" s="465" t="s">
        <v>14</v>
      </c>
      <c r="B45" s="321" t="s">
        <v>382</v>
      </c>
      <c r="C45" s="1519">
        <v>0</v>
      </c>
      <c r="D45" s="471"/>
      <c r="E45" s="1530" t="s">
        <v>1422</v>
      </c>
      <c r="F45" s="1530"/>
      <c r="G45" s="1548"/>
    </row>
    <row r="46" spans="1:7" ht="17.149999999999999" customHeight="1" thickBot="1" x14ac:dyDescent="0.3">
      <c r="A46" s="465" t="s">
        <v>165</v>
      </c>
      <c r="B46" s="321" t="s">
        <v>383</v>
      </c>
      <c r="C46" s="859">
        <v>0.75</v>
      </c>
      <c r="D46" s="471"/>
      <c r="E46" s="1523"/>
      <c r="F46" s="1523"/>
      <c r="G46" s="1524"/>
    </row>
    <row r="47" spans="1:7" ht="17.149999999999999" customHeight="1" thickBot="1" x14ac:dyDescent="0.3">
      <c r="A47" s="465" t="s">
        <v>167</v>
      </c>
      <c r="B47" s="321" t="s">
        <v>384</v>
      </c>
      <c r="C47" s="859">
        <v>0.5</v>
      </c>
      <c r="D47" s="471"/>
      <c r="E47" s="1523"/>
      <c r="F47" s="1523"/>
      <c r="G47" s="1524"/>
    </row>
    <row r="48" spans="1:7" ht="17.149999999999999" customHeight="1" thickBot="1" x14ac:dyDescent="0.3">
      <c r="A48" s="465" t="s">
        <v>168</v>
      </c>
      <c r="B48" s="321" t="s">
        <v>385</v>
      </c>
      <c r="C48" s="859">
        <v>0.75</v>
      </c>
      <c r="D48" s="471"/>
      <c r="E48" s="1523"/>
      <c r="F48" s="1523"/>
      <c r="G48" s="1524"/>
    </row>
    <row r="49" spans="1:7" ht="17.149999999999999" customHeight="1" thickBot="1" x14ac:dyDescent="0.3">
      <c r="A49" s="465" t="s">
        <v>18</v>
      </c>
      <c r="B49" s="321" t="s">
        <v>386</v>
      </c>
      <c r="C49" s="859">
        <v>0.1</v>
      </c>
      <c r="D49" s="471"/>
      <c r="E49" s="1523"/>
      <c r="F49" s="1523"/>
      <c r="G49" s="1524"/>
    </row>
    <row r="50" spans="1:7" ht="17.149999999999999" customHeight="1" thickBot="1" x14ac:dyDescent="0.3">
      <c r="A50" s="465" t="s">
        <v>178</v>
      </c>
      <c r="B50" s="321" t="s">
        <v>387</v>
      </c>
      <c r="C50" s="859">
        <v>0.1</v>
      </c>
      <c r="D50" s="471"/>
      <c r="E50" s="1523"/>
      <c r="F50" s="1523"/>
      <c r="G50" s="1524"/>
    </row>
    <row r="51" spans="1:7" ht="17.149999999999999" customHeight="1" thickBot="1" x14ac:dyDescent="0.3">
      <c r="A51" s="465" t="s">
        <v>30</v>
      </c>
      <c r="B51" s="321" t="s">
        <v>978</v>
      </c>
      <c r="C51" s="856">
        <v>1.9E-2</v>
      </c>
      <c r="D51" s="471"/>
      <c r="E51" s="1523"/>
      <c r="F51" s="1523"/>
      <c r="G51" s="1524"/>
    </row>
    <row r="52" spans="1:7" ht="17.149999999999999" customHeight="1" thickBot="1" x14ac:dyDescent="0.3">
      <c r="A52" s="465" t="s">
        <v>174</v>
      </c>
      <c r="B52" s="321" t="s">
        <v>1020</v>
      </c>
      <c r="C52" s="856">
        <f ca="1">0.08*sensitivity_03</f>
        <v>0.08</v>
      </c>
      <c r="D52" s="471"/>
      <c r="E52" s="1530"/>
      <c r="F52" s="1523"/>
      <c r="G52" s="1524"/>
    </row>
    <row r="53" spans="1:7" ht="17.149999999999999" customHeight="1" thickBot="1" x14ac:dyDescent="0.3">
      <c r="A53" s="465" t="s">
        <v>184</v>
      </c>
      <c r="B53" s="321" t="s">
        <v>1021</v>
      </c>
      <c r="C53" s="856">
        <v>0.06</v>
      </c>
      <c r="D53" s="471"/>
      <c r="E53" s="1523"/>
      <c r="F53" s="1523"/>
      <c r="G53" s="1524"/>
    </row>
    <row r="54" spans="1:7" ht="17.149999999999999" customHeight="1" thickBot="1" x14ac:dyDescent="0.3">
      <c r="A54" s="465" t="s">
        <v>28</v>
      </c>
      <c r="B54" s="321" t="s">
        <v>977</v>
      </c>
      <c r="C54" s="470">
        <v>0.21</v>
      </c>
      <c r="D54" s="471"/>
      <c r="E54" s="1523"/>
      <c r="F54" s="1523"/>
      <c r="G54" s="1524"/>
    </row>
    <row r="55" spans="1:7" ht="17.149999999999999" customHeight="1" thickBot="1" x14ac:dyDescent="0.3">
      <c r="A55" s="465" t="s">
        <v>1017</v>
      </c>
      <c r="B55" s="321" t="s">
        <v>21</v>
      </c>
      <c r="C55" s="861">
        <f>fed_tax_rate+state_tax_rate*(1-fed_tax_rate)</f>
        <v>0.25739999999999996</v>
      </c>
      <c r="D55" s="472"/>
      <c r="E55" s="1531"/>
      <c r="F55" s="1523"/>
      <c r="G55" s="1524"/>
    </row>
    <row r="56" spans="1:7" ht="17.149999999999999" customHeight="1" thickBot="1" x14ac:dyDescent="0.3">
      <c r="A56" s="465" t="s">
        <v>189</v>
      </c>
      <c r="B56" s="321" t="s">
        <v>371</v>
      </c>
      <c r="C56" s="473">
        <v>0.15</v>
      </c>
      <c r="D56" s="471"/>
      <c r="E56" s="1523"/>
      <c r="F56" s="1523"/>
      <c r="G56" s="1524"/>
    </row>
    <row r="57" spans="1:7" ht="18.75" customHeight="1" thickTop="1" x14ac:dyDescent="0.3">
      <c r="A57" s="465"/>
      <c r="B57" s="506" t="s">
        <v>1043</v>
      </c>
      <c r="C57" s="833"/>
      <c r="D57" s="827"/>
      <c r="E57" s="827"/>
      <c r="F57" s="827"/>
      <c r="G57" s="828"/>
    </row>
    <row r="58" spans="1:7" ht="21" customHeight="1" thickBot="1" x14ac:dyDescent="0.3">
      <c r="A58" s="465"/>
      <c r="B58" s="432" t="s">
        <v>275</v>
      </c>
      <c r="C58" s="490"/>
      <c r="D58" s="434"/>
      <c r="E58" s="433"/>
      <c r="F58" s="433"/>
      <c r="G58" s="435"/>
    </row>
    <row r="59" spans="1:7" ht="23.25" customHeight="1" thickBot="1" x14ac:dyDescent="0.3">
      <c r="A59" s="465"/>
      <c r="B59" s="476" t="s">
        <v>1290</v>
      </c>
      <c r="C59" s="490"/>
      <c r="D59" s="434"/>
      <c r="E59" s="433"/>
      <c r="F59" s="1527" t="s">
        <v>714</v>
      </c>
      <c r="G59" s="435"/>
    </row>
    <row r="60" spans="1:7" ht="18.75" customHeight="1" thickBot="1" x14ac:dyDescent="0.3">
      <c r="A60" s="465"/>
      <c r="B60" s="432" t="s">
        <v>696</v>
      </c>
      <c r="C60" s="433"/>
      <c r="D60" s="434"/>
      <c r="E60" s="433"/>
      <c r="F60" s="1527"/>
      <c r="G60" s="435"/>
    </row>
    <row r="61" spans="1:7" ht="17.149999999999999" customHeight="1" thickBot="1" x14ac:dyDescent="0.3">
      <c r="A61" s="465"/>
      <c r="B61" s="476" t="s">
        <v>1352</v>
      </c>
      <c r="C61" s="436" t="str">
        <f>IF(OR(TMP_FeedType="Feedstock",TMP_FeedType = "Utility")," Enter usage in","Enter production in")</f>
        <v xml:space="preserve"> Enter usage in</v>
      </c>
      <c r="D61" s="436" t="str">
        <f ca="1">VLOOKUP(TMP_FeedName,INDIRECT(TMP_PriceTable),4,FALSE)</f>
        <v>kWh</v>
      </c>
      <c r="E61" s="433"/>
      <c r="F61" s="1527"/>
      <c r="G61" s="435"/>
    </row>
    <row r="62" spans="1:7" ht="17.149999999999999" customHeight="1" thickBot="1" x14ac:dyDescent="0.3">
      <c r="A62" s="465"/>
      <c r="B62" s="432" t="s">
        <v>697</v>
      </c>
      <c r="C62" s="436"/>
      <c r="D62" s="436"/>
      <c r="E62" s="433"/>
      <c r="F62" s="1527"/>
      <c r="G62" s="435"/>
    </row>
    <row r="63" spans="1:7" ht="17.149999999999999" customHeight="1" thickBot="1" x14ac:dyDescent="0.3">
      <c r="A63" s="465"/>
      <c r="B63" s="1198" t="s">
        <v>698</v>
      </c>
      <c r="C63" s="434"/>
      <c r="D63" s="434"/>
      <c r="E63" s="433"/>
      <c r="F63" s="1527"/>
      <c r="G63" s="435"/>
    </row>
    <row r="64" spans="1:7" ht="17.149999999999999" customHeight="1" thickBot="1" x14ac:dyDescent="0.3">
      <c r="A64" s="465"/>
      <c r="B64" s="892"/>
      <c r="C64" s="434"/>
      <c r="D64" s="434"/>
      <c r="E64" s="433"/>
      <c r="F64" s="1527"/>
      <c r="G64" s="435"/>
    </row>
    <row r="65" spans="1:7" ht="37.5" customHeight="1" thickBot="1" x14ac:dyDescent="0.3">
      <c r="A65" s="465"/>
      <c r="B65" s="445" t="str">
        <f>SELECTED_FEED</f>
        <v>utility</v>
      </c>
      <c r="C65" s="547" t="str">
        <f>TMP_FeedName</f>
        <v>Industrial Electricity</v>
      </c>
      <c r="D65" s="548"/>
      <c r="E65" s="438"/>
      <c r="F65" s="1527"/>
      <c r="G65" s="435"/>
    </row>
    <row r="66" spans="1:7" ht="19" customHeight="1" thickBot="1" x14ac:dyDescent="0.3">
      <c r="A66" s="465"/>
      <c r="B66" s="446" t="str">
        <f ca="1">"Price Conversion Factor (GJ/"&amp;TMP_Units&amp;")"</f>
        <v>Price Conversion Factor (GJ/kWh)</v>
      </c>
      <c r="C66" s="457">
        <f ca="1">VLOOKUP(TMP_FeedName,MASTER_PROPERTY_TABLE,9,FALSE)</f>
        <v>3.5999999999999995E-3</v>
      </c>
      <c r="D66" s="439"/>
      <c r="E66" s="438"/>
      <c r="F66" s="1527"/>
      <c r="G66" s="435"/>
    </row>
    <row r="67" spans="1:7" ht="19" customHeight="1" thickBot="1" x14ac:dyDescent="0.3">
      <c r="A67" s="465"/>
      <c r="B67" s="837" t="str">
        <f ca="1">"Price in Startup Year ($" &amp; ref_year &amp; ")/" &amp; TMP_Units</f>
        <v>Price in Startup Year ($2016)/kWh</v>
      </c>
      <c r="C67" s="1270">
        <f ca="1">HLOOKUP(startup_year,INDIRECT(TMP_PriceTable),MATCH(TMP_FeedName,INDIRECT(Energy_Feed_List),0),FALSE)*TMP_Conversion</f>
        <v>7.7596976084681746E-2</v>
      </c>
      <c r="D67" s="440"/>
      <c r="E67" s="441"/>
      <c r="F67" s="1527"/>
      <c r="G67" s="435"/>
    </row>
    <row r="68" spans="1:7" ht="19" customHeight="1" thickBot="1" x14ac:dyDescent="0.35">
      <c r="A68" s="465"/>
      <c r="B68" s="446" t="str">
        <f ca="1">IF(OR(TMP_FeedType="Feedstock",TMP_FeedType = "Utility"),"Usage ("&amp;TMP_Units&amp;"/kg H2)","Production ("&amp;TMP_Units&amp;"/kg H2)")</f>
        <v>Usage (kWh/kg H2)</v>
      </c>
      <c r="C68" s="911">
        <v>0.56899999999999995</v>
      </c>
      <c r="D68" s="441"/>
      <c r="E68" s="438"/>
      <c r="F68" s="1527"/>
      <c r="G68" s="435"/>
    </row>
    <row r="69" spans="1:7" ht="19" customHeight="1" thickBot="1" x14ac:dyDescent="0.3">
      <c r="A69" s="465"/>
      <c r="B69" s="447" t="str">
        <f>IF(OR(TMP_FeedType = "Feedstock",TMP_FeedType = "Utility"), "Cost in Startup Year","Income in Startup Year")</f>
        <v>Cost in Startup Year</v>
      </c>
      <c r="C69" s="462">
        <f ca="1">design_cap*365*cap_factor*TMP_Usage*TMP_StartPrice</f>
        <v>5502687.9214007743</v>
      </c>
      <c r="D69" s="439"/>
      <c r="E69" s="438"/>
      <c r="F69" s="433"/>
      <c r="G69" s="435"/>
    </row>
    <row r="70" spans="1:7" ht="19" customHeight="1" thickBot="1" x14ac:dyDescent="0.3">
      <c r="A70" s="465"/>
      <c r="B70" s="446" t="s">
        <v>262</v>
      </c>
      <c r="C70" s="456" t="s">
        <v>711</v>
      </c>
      <c r="D70" s="439"/>
      <c r="E70" s="438"/>
      <c r="F70" s="433"/>
      <c r="G70" s="435"/>
    </row>
    <row r="71" spans="1:7" s="434" customFormat="1" ht="19" customHeight="1" x14ac:dyDescent="0.25">
      <c r="A71" s="906"/>
      <c r="B71" s="907"/>
      <c r="C71" s="908"/>
      <c r="D71" s="439"/>
      <c r="E71" s="438"/>
      <c r="F71" s="433"/>
      <c r="G71" s="435"/>
    </row>
    <row r="72" spans="1:7" ht="27" customHeight="1" thickBot="1" x14ac:dyDescent="0.35">
      <c r="A72" s="466"/>
      <c r="B72" s="909" t="s">
        <v>715</v>
      </c>
      <c r="C72" s="443"/>
      <c r="D72" s="443"/>
      <c r="E72" s="443"/>
      <c r="F72" s="443"/>
      <c r="G72" s="444"/>
    </row>
    <row r="73" spans="1:7" ht="28" customHeight="1" x14ac:dyDescent="0.25">
      <c r="A73" s="466" t="s">
        <v>15</v>
      </c>
      <c r="B73" s="458"/>
      <c r="C73" s="459"/>
      <c r="D73" s="459"/>
      <c r="E73" s="459"/>
      <c r="F73" s="460"/>
      <c r="G73" s="461"/>
    </row>
    <row r="74" spans="1:7" ht="28" customHeight="1" x14ac:dyDescent="0.25">
      <c r="A74" s="466"/>
      <c r="B74" s="458" t="s">
        <v>833</v>
      </c>
      <c r="C74" s="459" t="s">
        <v>1353</v>
      </c>
      <c r="D74" s="459" t="s">
        <v>1354</v>
      </c>
      <c r="E74" s="459" t="s">
        <v>1355</v>
      </c>
      <c r="F74" s="460" t="s">
        <v>834</v>
      </c>
      <c r="G74" s="461" t="s">
        <v>262</v>
      </c>
    </row>
    <row r="75" spans="1:7" ht="28" customHeight="1" x14ac:dyDescent="0.25">
      <c r="A75" s="466"/>
      <c r="B75" s="458" t="s">
        <v>283</v>
      </c>
      <c r="C75" s="459">
        <v>1.0549999999999999</v>
      </c>
      <c r="D75" s="459">
        <v>5.9307141943176465</v>
      </c>
      <c r="E75" s="459">
        <f ca="1">0.156*sensitivity_04</f>
        <v>0.156</v>
      </c>
      <c r="F75" s="460">
        <f ca="1">+feedstockIndustrial_Natural_Gas_Usage*feedstockIndustrial_Natural_Gas_Price*output_kgyear*(1+inflation_rate)^(startup_year-ref_year)*percnt_var</f>
        <v>135859838.0960815</v>
      </c>
      <c r="G75" s="461" t="s">
        <v>711</v>
      </c>
    </row>
    <row r="76" spans="1:7" ht="28" customHeight="1" x14ac:dyDescent="0.25">
      <c r="A76" s="466" t="s">
        <v>15</v>
      </c>
      <c r="B76" s="458"/>
      <c r="C76" s="459"/>
      <c r="D76" s="459"/>
      <c r="E76" s="459"/>
      <c r="F76" s="460"/>
      <c r="G76" s="461"/>
    </row>
    <row r="77" spans="1:7" ht="28" customHeight="1" x14ac:dyDescent="0.25">
      <c r="A77" s="466"/>
      <c r="B77" s="458" t="s">
        <v>1352</v>
      </c>
      <c r="C77" s="459" t="s">
        <v>1349</v>
      </c>
      <c r="D77" s="459" t="s">
        <v>1350</v>
      </c>
      <c r="E77" s="459" t="s">
        <v>1356</v>
      </c>
      <c r="F77" s="460" t="s">
        <v>834</v>
      </c>
      <c r="G77" s="461" t="s">
        <v>262</v>
      </c>
    </row>
    <row r="78" spans="1:7" ht="28" customHeight="1" x14ac:dyDescent="0.25">
      <c r="A78" s="466"/>
      <c r="B78" s="458" t="s">
        <v>698</v>
      </c>
      <c r="C78" s="459">
        <v>3.5999999999999995E-3</v>
      </c>
      <c r="D78" s="459">
        <v>7.7596976084681746E-2</v>
      </c>
      <c r="E78" s="459">
        <f ca="1">0.6*sensitivity_05</f>
        <v>0.6</v>
      </c>
      <c r="F78" s="460">
        <f ca="1">utilityIndustrial_Electricity_Price*utilityIndustrial_Electricity_Usage*output_kgyear*(1+inflation_rate)^(startup_year-ref_year)*percnt_var</f>
        <v>6836842.0487984661</v>
      </c>
      <c r="G78" s="461" t="s">
        <v>711</v>
      </c>
    </row>
    <row r="79" spans="1:7" ht="28" customHeight="1" x14ac:dyDescent="0.25">
      <c r="A79" s="465" t="s">
        <v>273</v>
      </c>
      <c r="B79" s="458"/>
      <c r="C79" s="459"/>
      <c r="D79" s="459"/>
      <c r="E79" s="459"/>
      <c r="F79" s="460"/>
      <c r="G79" s="461"/>
    </row>
    <row r="80" spans="1:7" ht="28" customHeight="1" x14ac:dyDescent="0.25">
      <c r="A80" s="467" t="s">
        <v>274</v>
      </c>
      <c r="B80" s="459"/>
      <c r="C80" s="459"/>
      <c r="D80" s="459"/>
      <c r="E80" s="459"/>
      <c r="F80" s="460"/>
      <c r="G80" s="461"/>
    </row>
    <row r="81" spans="1:8" ht="17.149999999999999" customHeight="1" thickBot="1" x14ac:dyDescent="0.3">
      <c r="A81" s="467"/>
      <c r="B81" s="326"/>
      <c r="C81" s="326"/>
      <c r="D81" s="332"/>
      <c r="E81" s="332"/>
      <c r="F81" s="329" t="s">
        <v>58</v>
      </c>
      <c r="G81" s="331"/>
    </row>
    <row r="82" spans="1:8" ht="17.149999999999999" customHeight="1" thickBot="1" x14ac:dyDescent="0.3">
      <c r="A82" s="465" t="s">
        <v>251</v>
      </c>
      <c r="B82" s="333" t="s">
        <v>277</v>
      </c>
      <c r="C82" s="329"/>
      <c r="D82" s="332"/>
      <c r="E82" s="332"/>
      <c r="F82" s="245">
        <f ca="1">SUM(Dynamic_Feed_Total)</f>
        <v>135859838.0960815</v>
      </c>
      <c r="G82" s="331"/>
    </row>
    <row r="83" spans="1:8" ht="17.149999999999999" customHeight="1" thickBot="1" x14ac:dyDescent="0.3">
      <c r="A83" s="465" t="s">
        <v>252</v>
      </c>
      <c r="B83" s="333" t="s">
        <v>278</v>
      </c>
      <c r="C83" s="329"/>
      <c r="D83" s="332"/>
      <c r="E83" s="332"/>
      <c r="F83" s="245">
        <f ca="1">SUM(Dynamic_Utilities_Total)</f>
        <v>6836842.0487984661</v>
      </c>
      <c r="G83" s="331"/>
    </row>
    <row r="84" spans="1:8" ht="17.149999999999999" customHeight="1" thickBot="1" x14ac:dyDescent="0.3">
      <c r="A84" s="465" t="s">
        <v>256</v>
      </c>
      <c r="B84" s="324" t="s">
        <v>276</v>
      </c>
      <c r="C84" s="329"/>
      <c r="D84" s="332"/>
      <c r="E84" s="332"/>
      <c r="F84" s="245">
        <f>SUM(Dynamic_Byproduct_Total)</f>
        <v>0</v>
      </c>
      <c r="G84" s="331"/>
    </row>
    <row r="85" spans="1:8" ht="38.25" customHeight="1" x14ac:dyDescent="0.25">
      <c r="A85" s="465"/>
      <c r="B85" s="324"/>
      <c r="C85" s="319"/>
      <c r="D85" s="834" t="s">
        <v>317</v>
      </c>
      <c r="E85" s="1532"/>
      <c r="F85" s="1532"/>
      <c r="G85" s="1533"/>
    </row>
    <row r="86" spans="1:8" ht="28.5" customHeight="1" thickBot="1" x14ac:dyDescent="0.3">
      <c r="A86" s="465"/>
      <c r="B86" s="324"/>
      <c r="C86" s="319"/>
      <c r="D86" s="434"/>
      <c r="E86" s="1534"/>
      <c r="F86" s="1534"/>
      <c r="G86" s="1535"/>
    </row>
    <row r="87" spans="1:8" ht="17.149999999999999" customHeight="1" thickTop="1" thickBot="1" x14ac:dyDescent="0.3">
      <c r="A87" s="465"/>
      <c r="B87" s="498" t="s">
        <v>83</v>
      </c>
      <c r="C87" s="499"/>
      <c r="D87" s="499"/>
      <c r="E87" s="1525" t="s">
        <v>441</v>
      </c>
      <c r="F87" s="1525"/>
      <c r="G87" s="1526"/>
    </row>
    <row r="88" spans="1:8" ht="20.149999999999999" customHeight="1" thickBot="1" x14ac:dyDescent="0.3">
      <c r="A88" s="465" t="s">
        <v>246</v>
      </c>
      <c r="B88" s="327" t="s">
        <v>336</v>
      </c>
      <c r="C88" s="243">
        <f ca="1">Det_scaled_cap</f>
        <v>130958269.76768339</v>
      </c>
      <c r="D88" s="471"/>
      <c r="E88" s="1528" t="s">
        <v>531</v>
      </c>
      <c r="F88" s="1528"/>
      <c r="G88" s="1529"/>
    </row>
    <row r="89" spans="1:8" ht="28.9" customHeight="1" thickBot="1" x14ac:dyDescent="0.3">
      <c r="A89" s="465"/>
      <c r="B89" s="327" t="s">
        <v>1003</v>
      </c>
      <c r="C89" s="1276">
        <f>Det_CO2_seq</f>
        <v>0</v>
      </c>
      <c r="D89" s="471"/>
      <c r="E89" s="1528" t="s">
        <v>843</v>
      </c>
      <c r="F89" s="1528"/>
      <c r="G89" s="1529"/>
    </row>
    <row r="90" spans="1:8" ht="21.75" customHeight="1" x14ac:dyDescent="0.25">
      <c r="A90" s="465"/>
      <c r="B90" s="327"/>
      <c r="C90"/>
      <c r="D90"/>
      <c r="E90"/>
      <c r="F90"/>
      <c r="G90" s="449"/>
    </row>
    <row r="91" spans="1:8" ht="45.75" customHeight="1" thickBot="1" x14ac:dyDescent="0.35">
      <c r="A91" s="465"/>
      <c r="B91" s="327" t="s">
        <v>337</v>
      </c>
      <c r="C91" s="988" t="str">
        <f>"Enter values in basis year (" &amp; BasisYear &amp; ") dollars"</f>
        <v>Enter values in basis year (2005) dollars</v>
      </c>
      <c r="D91" s="988" t="s">
        <v>844</v>
      </c>
      <c r="E91" s="988" t="str">
        <f xml:space="preserve"> "Reference Year ("&amp; ref_year &amp; ") Dollars"</f>
        <v>Reference Year (2016) Dollars</v>
      </c>
      <c r="F91"/>
      <c r="G91" s="449"/>
      <c r="H91" s="35"/>
    </row>
    <row r="92" spans="1:8" ht="17.149999999999999" customHeight="1" x14ac:dyDescent="0.25">
      <c r="A92" s="465" t="s">
        <v>179</v>
      </c>
      <c r="B92" s="322" t="s">
        <v>712</v>
      </c>
      <c r="C92" s="1014">
        <f ca="1">0.02*(direct_cap+CO2_seq)/(CEPCIinflator*CPIinflator)</f>
        <v>2022655.3728000002</v>
      </c>
      <c r="D92" s="1036">
        <f t="shared" ref="D92:D98" si="0">CEPCIinflator*CPIinflator</f>
        <v>1.294914314408345</v>
      </c>
      <c r="E92" s="1016">
        <f ca="1">C92*D92</f>
        <v>2619165.3953536679</v>
      </c>
      <c r="F92" s="1002"/>
      <c r="G92" s="1005"/>
    </row>
    <row r="93" spans="1:8" ht="29.25" customHeight="1" x14ac:dyDescent="0.25">
      <c r="A93" s="465" t="s">
        <v>27</v>
      </c>
      <c r="B93" s="321" t="s">
        <v>338</v>
      </c>
      <c r="C93" s="1017">
        <f ca="1">0.1*(direct_cap+CO2_seq)/(CEPCIinflator*CPIinflator)</f>
        <v>10113276.864000002</v>
      </c>
      <c r="D93" s="1037">
        <f t="shared" si="0"/>
        <v>1.294914314408345</v>
      </c>
      <c r="E93" s="1019">
        <f t="shared" ref="E93:E98" ca="1" si="1">C93*D93</f>
        <v>13095826.976768341</v>
      </c>
      <c r="F93" s="1002"/>
      <c r="G93" s="1005"/>
      <c r="H93" s="34"/>
    </row>
    <row r="94" spans="1:8" ht="17.149999999999999" customHeight="1" x14ac:dyDescent="0.25">
      <c r="A94" s="465" t="s">
        <v>171</v>
      </c>
      <c r="B94" s="321" t="s">
        <v>347</v>
      </c>
      <c r="C94" s="1017"/>
      <c r="D94" s="1037">
        <f t="shared" si="0"/>
        <v>1.294914314408345</v>
      </c>
      <c r="E94" s="1019">
        <f t="shared" si="1"/>
        <v>0</v>
      </c>
      <c r="F94" s="1002"/>
      <c r="G94" s="1005"/>
      <c r="H94" s="905"/>
    </row>
    <row r="95" spans="1:8" ht="17.149999999999999" customHeight="1" x14ac:dyDescent="0.25">
      <c r="A95" s="465" t="s">
        <v>173</v>
      </c>
      <c r="B95" s="321" t="s">
        <v>348</v>
      </c>
      <c r="C95" s="1017">
        <f ca="1">0.15*(direct_cap+CO2_seq)/(CEPCIinflator*CPIinflator)</f>
        <v>15169915.296</v>
      </c>
      <c r="D95" s="1037">
        <f t="shared" si="0"/>
        <v>1.294914314408345</v>
      </c>
      <c r="E95" s="1019">
        <f t="shared" ca="1" si="1"/>
        <v>19643740.465152506</v>
      </c>
      <c r="F95" s="1002"/>
      <c r="G95" s="1005"/>
      <c r="H95" s="905"/>
    </row>
    <row r="96" spans="1:8" ht="31.5" customHeight="1" x14ac:dyDescent="0.25">
      <c r="A96" s="465" t="s">
        <v>159</v>
      </c>
      <c r="B96" s="321" t="s">
        <v>350</v>
      </c>
      <c r="C96" s="1017"/>
      <c r="D96" s="1037">
        <f t="shared" si="0"/>
        <v>1.294914314408345</v>
      </c>
      <c r="E96" s="1019">
        <f t="shared" si="1"/>
        <v>0</v>
      </c>
      <c r="F96" s="1002"/>
      <c r="G96" s="1005"/>
      <c r="H96" s="34"/>
    </row>
    <row r="97" spans="1:7" ht="17.149999999999999" customHeight="1" x14ac:dyDescent="0.25">
      <c r="A97" s="465" t="s">
        <v>29</v>
      </c>
      <c r="B97" s="321" t="s">
        <v>349</v>
      </c>
      <c r="C97" s="1017"/>
      <c r="D97" s="1037">
        <f t="shared" si="0"/>
        <v>1.294914314408345</v>
      </c>
      <c r="E97" s="1019">
        <f t="shared" si="1"/>
        <v>0</v>
      </c>
      <c r="F97" s="1002"/>
      <c r="G97" s="1005"/>
    </row>
    <row r="98" spans="1:7" ht="21.75" customHeight="1" thickBot="1" x14ac:dyDescent="0.3">
      <c r="A98" s="465" t="s">
        <v>169</v>
      </c>
      <c r="B98" s="322" t="s">
        <v>713</v>
      </c>
      <c r="C98" s="1020">
        <f ca="1">0.15*(direct_cap+CO2_seq)/(CEPCIinflator*CPIinflator)</f>
        <v>15169915.296</v>
      </c>
      <c r="D98" s="1038">
        <f t="shared" si="0"/>
        <v>1.294914314408345</v>
      </c>
      <c r="E98" s="1021">
        <f t="shared" ca="1" si="1"/>
        <v>19643740.465152506</v>
      </c>
      <c r="F98" s="1002"/>
      <c r="G98" s="1005"/>
    </row>
    <row r="99" spans="1:7" ht="20.149999999999999" customHeight="1" thickBot="1" x14ac:dyDescent="0.3">
      <c r="A99" s="465" t="s">
        <v>1010</v>
      </c>
      <c r="B99" s="327" t="s">
        <v>979</v>
      </c>
      <c r="C99"/>
      <c r="E99" s="862">
        <f ca="1">direct_cap+CO2_seq+SUM($E$92:$E$98)</f>
        <v>185960743.07011041</v>
      </c>
      <c r="F99" s="1006"/>
      <c r="G99" s="1007"/>
    </row>
    <row r="100" spans="1:7" x14ac:dyDescent="0.25">
      <c r="A100" s="465"/>
      <c r="B100" s="321"/>
      <c r="C100" s="319"/>
      <c r="D100" s="1554" t="s">
        <v>844</v>
      </c>
      <c r="E100"/>
      <c r="F100" s="475"/>
      <c r="G100" s="474"/>
    </row>
    <row r="101" spans="1:7" ht="30.75" customHeight="1" thickBot="1" x14ac:dyDescent="0.35">
      <c r="A101" s="465"/>
      <c r="B101" s="327" t="s">
        <v>351</v>
      </c>
      <c r="C101" s="988" t="str">
        <f>"Enter values in basis year (" &amp; BasisYear &amp; ") dollars"</f>
        <v>Enter values in basis year (2005) dollars</v>
      </c>
      <c r="D101" s="1555"/>
      <c r="E101" s="988" t="str">
        <f xml:space="preserve"> "Reference Year ("&amp; ref_year &amp; ") Dollars"</f>
        <v>Reference Year (2016) Dollars</v>
      </c>
      <c r="F101" s="475"/>
      <c r="G101" s="474"/>
    </row>
    <row r="102" spans="1:7" ht="27.75" customHeight="1" thickBot="1" x14ac:dyDescent="0.3">
      <c r="A102" s="465" t="s">
        <v>1093</v>
      </c>
      <c r="B102" s="321" t="s">
        <v>352</v>
      </c>
      <c r="C102" s="1014">
        <v>50000</v>
      </c>
      <c r="D102" s="1036">
        <f>CPIinflator</f>
        <v>1.100724186648488</v>
      </c>
      <c r="E102" s="999">
        <f>C102*D102</f>
        <v>55036.209332424405</v>
      </c>
      <c r="F102" s="475"/>
      <c r="G102" s="474"/>
    </row>
    <row r="103" spans="1:7" ht="25.5" customHeight="1" thickBot="1" x14ac:dyDescent="0.3">
      <c r="A103" s="465" t="s">
        <v>1094</v>
      </c>
      <c r="B103" s="321" t="s">
        <v>353</v>
      </c>
      <c r="C103" s="1023">
        <v>10</v>
      </c>
      <c r="D103" s="1018">
        <f ca="1">Scale_Factor *1</f>
        <v>1</v>
      </c>
      <c r="E103" s="996">
        <f ca="1">C103*D103</f>
        <v>10</v>
      </c>
      <c r="F103" s="475"/>
      <c r="G103" s="474"/>
    </row>
    <row r="104" spans="1:7" ht="27" customHeight="1" thickBot="1" x14ac:dyDescent="0.3">
      <c r="A104" s="465" t="s">
        <v>1011</v>
      </c>
      <c r="B104" s="321" t="s">
        <v>980</v>
      </c>
      <c r="C104" s="1024"/>
      <c r="D104" s="1024"/>
      <c r="E104" s="862">
        <f ca="1">acre_cost*acres</f>
        <v>550362.09332424402</v>
      </c>
      <c r="F104" s="475"/>
      <c r="G104" s="474"/>
    </row>
    <row r="105" spans="1:7" ht="17.149999999999999" customHeight="1" thickBot="1" x14ac:dyDescent="0.3">
      <c r="A105" s="465"/>
      <c r="B105" s="321" t="s">
        <v>1012</v>
      </c>
      <c r="C105" s="1014"/>
      <c r="D105" s="1036">
        <f>CPIinflator</f>
        <v>1.100724186648488</v>
      </c>
      <c r="E105" s="862">
        <f>C105*D105</f>
        <v>0</v>
      </c>
      <c r="F105" s="1006"/>
      <c r="G105" s="1007"/>
    </row>
    <row r="106" spans="1:7" ht="20.149999999999999" customHeight="1" thickBot="1" x14ac:dyDescent="0.3">
      <c r="A106" s="465" t="s">
        <v>1018</v>
      </c>
      <c r="B106" s="327" t="s">
        <v>981</v>
      </c>
      <c r="C106" s="1024"/>
      <c r="D106" s="1024"/>
      <c r="E106" s="244">
        <f ca="1">land_cost+$E$105</f>
        <v>550362.09332424402</v>
      </c>
      <c r="F106" s="475"/>
      <c r="G106" s="474"/>
    </row>
    <row r="107" spans="1:7" ht="13" thickBot="1" x14ac:dyDescent="0.3">
      <c r="A107" s="465"/>
      <c r="B107" s="321"/>
      <c r="C107" s="319"/>
      <c r="D107" s="1024"/>
      <c r="E107" s="475"/>
      <c r="F107" s="475"/>
      <c r="G107" s="474"/>
    </row>
    <row r="108" spans="1:7" ht="20.149999999999999" customHeight="1" thickBot="1" x14ac:dyDescent="0.3">
      <c r="A108" s="465" t="s">
        <v>1019</v>
      </c>
      <c r="B108" s="327" t="s">
        <v>995</v>
      </c>
      <c r="C108" s="243">
        <f ca="1">(depr_cap+non_dep_cap)*sensitivity_06</f>
        <v>186511105.16343465</v>
      </c>
      <c r="D108" s="1024"/>
      <c r="E108" s="1022"/>
      <c r="F108" s="475"/>
      <c r="G108" s="474"/>
    </row>
    <row r="109" spans="1:7" ht="13" thickBot="1" x14ac:dyDescent="0.3">
      <c r="A109" s="465"/>
      <c r="B109" s="321"/>
      <c r="C109" s="319"/>
      <c r="D109" s="1024"/>
      <c r="E109" s="475"/>
      <c r="F109" s="475"/>
      <c r="G109" s="474"/>
    </row>
    <row r="110" spans="1:7" ht="44.25" customHeight="1" thickTop="1" thickBot="1" x14ac:dyDescent="0.35">
      <c r="A110" s="465"/>
      <c r="B110" s="498" t="s">
        <v>354</v>
      </c>
      <c r="C110" s="1031" t="str">
        <f>"Enter values in basis year (" &amp; BasisYear &amp; ") dollars"</f>
        <v>Enter values in basis year (2005) dollars</v>
      </c>
      <c r="D110" s="1031" t="s">
        <v>844</v>
      </c>
      <c r="E110" s="1031" t="str">
        <f xml:space="preserve"> "Reference Year ("&amp; ref_year &amp; ") Dollars"</f>
        <v>Reference Year (2016) Dollars</v>
      </c>
      <c r="F110" s="499"/>
      <c r="G110" s="501"/>
    </row>
    <row r="111" spans="1:7" s="35" customFormat="1" ht="29.25" customHeight="1" thickBot="1" x14ac:dyDescent="0.3">
      <c r="A111" s="465" t="s">
        <v>1022</v>
      </c>
      <c r="B111" s="322" t="s">
        <v>355</v>
      </c>
      <c r="C111" s="1028">
        <v>20</v>
      </c>
      <c r="D111" s="1015">
        <f ca="1">Scale_Ratio^0.25</f>
        <v>1</v>
      </c>
      <c r="E111" s="1029">
        <f ca="1">C111*D111</f>
        <v>20</v>
      </c>
      <c r="F111" s="1008"/>
      <c r="G111" s="1026"/>
    </row>
    <row r="112" spans="1:7" s="35" customFormat="1" ht="17.25" customHeight="1" thickBot="1" x14ac:dyDescent="0.3">
      <c r="A112" s="465" t="s">
        <v>1023</v>
      </c>
      <c r="B112" s="322" t="s">
        <v>356</v>
      </c>
      <c r="C112" s="1014">
        <v>50</v>
      </c>
      <c r="D112" s="1036">
        <f>VLOOKUP(ref_year,Tbl_labor_indexes,2,FALSE)/VLOOKUP(BasisYear,Tbl_labor_indexes,2,FALSE)</f>
        <v>1.1548042704626329</v>
      </c>
      <c r="E112" s="1001">
        <f>C112*D112</f>
        <v>57.740213523131644</v>
      </c>
      <c r="F112" s="1008"/>
      <c r="G112" s="1026"/>
    </row>
    <row r="113" spans="1:8" s="35" customFormat="1" ht="17.149999999999999" customHeight="1" thickBot="1" x14ac:dyDescent="0.3">
      <c r="A113" s="465" t="s">
        <v>1013</v>
      </c>
      <c r="B113" s="322" t="s">
        <v>996</v>
      </c>
      <c r="C113" s="1024"/>
      <c r="D113" s="1024"/>
      <c r="E113" s="863">
        <f ca="1">FTEs*2080*FTE_cost</f>
        <v>2401992.8825622764</v>
      </c>
      <c r="F113" s="1008"/>
      <c r="G113" s="1026"/>
    </row>
    <row r="114" spans="1:8" s="35" customFormat="1" ht="17.149999999999999" customHeight="1" thickBot="1" x14ac:dyDescent="0.3">
      <c r="A114" s="465" t="s">
        <v>160</v>
      </c>
      <c r="B114" s="322" t="s">
        <v>357</v>
      </c>
      <c r="C114" s="477">
        <v>0.2</v>
      </c>
      <c r="D114" s="1024"/>
      <c r="F114" s="1008"/>
      <c r="G114" s="1026"/>
    </row>
    <row r="115" spans="1:8" s="35" customFormat="1" ht="17.149999999999999" customHeight="1" thickBot="1" x14ac:dyDescent="0.3">
      <c r="A115" s="465" t="s">
        <v>1016</v>
      </c>
      <c r="B115" s="322" t="s">
        <v>989</v>
      </c>
      <c r="C115" s="1024"/>
      <c r="D115" s="1024"/>
      <c r="E115" s="990">
        <f ca="1">labor_cost*overhead_rate</f>
        <v>480398.5765124553</v>
      </c>
      <c r="F115" s="1008"/>
      <c r="G115" s="1026"/>
    </row>
    <row r="116" spans="1:8" s="35" customFormat="1" ht="17.149999999999999" customHeight="1" thickBot="1" x14ac:dyDescent="0.3">
      <c r="A116" s="465" t="s">
        <v>31</v>
      </c>
      <c r="B116" s="322" t="s">
        <v>358</v>
      </c>
      <c r="C116" s="1014">
        <v>0</v>
      </c>
      <c r="D116" s="1036">
        <f ca="1">Scale_Factor *CEPCIinflator*CPIinflator</f>
        <v>1.294914314408345</v>
      </c>
      <c r="E116" s="997">
        <f ca="1">C116*D116</f>
        <v>0</v>
      </c>
      <c r="F116" s="1008"/>
      <c r="G116" s="1026"/>
    </row>
    <row r="117" spans="1:8" s="35" customFormat="1" ht="26.25" customHeight="1" thickBot="1" x14ac:dyDescent="0.3">
      <c r="A117" s="465" t="s">
        <v>186</v>
      </c>
      <c r="B117" s="322" t="s">
        <v>1097</v>
      </c>
      <c r="C117" s="998">
        <v>0.02</v>
      </c>
      <c r="D117" s="1039"/>
      <c r="F117" s="1008"/>
      <c r="G117" s="1026"/>
    </row>
    <row r="118" spans="1:8" s="35" customFormat="1" ht="17.149999999999999" customHeight="1" thickBot="1" x14ac:dyDescent="0.3">
      <c r="A118" s="465" t="s">
        <v>1014</v>
      </c>
      <c r="B118" s="321" t="s">
        <v>994</v>
      </c>
      <c r="C118" s="1024"/>
      <c r="D118" s="1039"/>
      <c r="E118" s="900">
        <f ca="1">tax_ins_rate*total_cap</f>
        <v>3730222.1032686932</v>
      </c>
      <c r="F118" s="1008"/>
      <c r="G118" s="1026"/>
    </row>
    <row r="119" spans="1:8" s="35" customFormat="1" ht="17.149999999999999" customHeight="1" thickBot="1" x14ac:dyDescent="0.3">
      <c r="A119" s="465" t="s">
        <v>175</v>
      </c>
      <c r="B119" s="321" t="s">
        <v>359</v>
      </c>
      <c r="C119" s="1014">
        <v>0</v>
      </c>
      <c r="D119" s="1036">
        <f ca="1">Scale_Factor *CPIinflator</f>
        <v>1.100724186648488</v>
      </c>
      <c r="E119" s="999">
        <f ca="1">C119*D119</f>
        <v>0</v>
      </c>
      <c r="F119" s="1008"/>
      <c r="G119" s="1026"/>
    </row>
    <row r="120" spans="1:8" s="35" customFormat="1" ht="27" customHeight="1" thickBot="1" x14ac:dyDescent="0.3">
      <c r="A120" s="465" t="s">
        <v>1024</v>
      </c>
      <c r="B120" s="322" t="s">
        <v>360</v>
      </c>
      <c r="C120" s="1014">
        <v>607573</v>
      </c>
      <c r="D120" s="1036">
        <f ca="1">Scale_Factor *CEPCIinflator*CPIinflator</f>
        <v>1.294914314408345</v>
      </c>
      <c r="E120" s="1000">
        <f ca="1">C120*D120</f>
        <v>786754.97474802146</v>
      </c>
      <c r="F120" s="1008"/>
      <c r="G120" s="1026"/>
      <c r="H120" s="835"/>
    </row>
    <row r="121" spans="1:8" s="35" customFormat="1" ht="17.149999999999999" customHeight="1" thickBot="1" x14ac:dyDescent="0.3">
      <c r="A121" s="465" t="s">
        <v>172</v>
      </c>
      <c r="B121" s="322" t="s">
        <v>361</v>
      </c>
      <c r="C121" s="1014">
        <v>0</v>
      </c>
      <c r="D121" s="1036">
        <f ca="1">Scale_Factor *CEPCIinflator*CPIinflator</f>
        <v>1.294914314408345</v>
      </c>
      <c r="E121" s="991">
        <f ca="1">C121*D121</f>
        <v>0</v>
      </c>
      <c r="F121" s="1008"/>
      <c r="G121" s="1026"/>
    </row>
    <row r="122" spans="1:8" s="35" customFormat="1" ht="17.149999999999999" customHeight="1" thickBot="1" x14ac:dyDescent="0.3">
      <c r="A122" s="465" t="s">
        <v>157</v>
      </c>
      <c r="B122" s="321" t="s">
        <v>362</v>
      </c>
      <c r="C122" s="1014">
        <v>0</v>
      </c>
      <c r="D122" s="1036">
        <f ca="1">Scale_Ratio * CEPCIinflator*CPIinflator</f>
        <v>1.294914314408345</v>
      </c>
      <c r="E122" s="509">
        <f ca="1">C122*D122</f>
        <v>0</v>
      </c>
      <c r="F122" s="1008"/>
      <c r="G122" s="1026"/>
    </row>
    <row r="123" spans="1:8" s="35" customFormat="1" ht="17.149999999999999" customHeight="1" thickBot="1" x14ac:dyDescent="0.3">
      <c r="A123" s="465" t="s">
        <v>158</v>
      </c>
      <c r="B123" s="321" t="s">
        <v>363</v>
      </c>
      <c r="C123" s="1014">
        <v>0</v>
      </c>
      <c r="D123" s="1036">
        <f ca="1">Scale_Factor *CEPCIinflator*CPIinflator</f>
        <v>1.294914314408345</v>
      </c>
      <c r="E123" s="244">
        <f ca="1">C123*D123</f>
        <v>0</v>
      </c>
      <c r="F123" s="1008"/>
      <c r="G123" s="1026"/>
    </row>
    <row r="124" spans="1:8" s="35" customFormat="1" ht="24" customHeight="1" thickBot="1" x14ac:dyDescent="0.3">
      <c r="A124" s="465" t="s">
        <v>1015</v>
      </c>
      <c r="B124" s="327" t="s">
        <v>997</v>
      </c>
      <c r="C124" s="1024"/>
      <c r="D124" s="1024"/>
      <c r="E124" s="862">
        <f ca="1">(labor_cost+overhead_GA+tax_insurance+licensing+SUM(E119:E123))*sensitivity_07</f>
        <v>7399368.537091447</v>
      </c>
      <c r="F124" s="1025"/>
      <c r="G124" s="1027"/>
    </row>
    <row r="125" spans="1:8" s="35" customFormat="1" ht="13" thickBot="1" x14ac:dyDescent="0.3">
      <c r="A125" s="465"/>
      <c r="B125" s="322"/>
      <c r="C125" s="325"/>
      <c r="D125" s="512"/>
      <c r="E125" s="319"/>
      <c r="F125" s="319"/>
      <c r="G125" s="320"/>
    </row>
    <row r="126" spans="1:8" s="35" customFormat="1" ht="26.25" customHeight="1" thickTop="1" thickBot="1" x14ac:dyDescent="0.3">
      <c r="A126" s="465"/>
      <c r="B126" s="491" t="s">
        <v>948</v>
      </c>
      <c r="C126" s="492"/>
      <c r="D126" s="493"/>
      <c r="E126" s="494"/>
      <c r="F126" s="493"/>
      <c r="G126" s="495"/>
    </row>
    <row r="127" spans="1:8" customFormat="1" ht="15" customHeight="1" thickTop="1" x14ac:dyDescent="0.3">
      <c r="A127" s="465"/>
      <c r="B127" s="506" t="s">
        <v>1044</v>
      </c>
      <c r="C127" s="507"/>
      <c r="D127" s="507"/>
      <c r="E127" s="507"/>
      <c r="F127" s="507"/>
      <c r="G127" s="508"/>
    </row>
    <row r="128" spans="1:8" customFormat="1" ht="15" customHeight="1" x14ac:dyDescent="0.25">
      <c r="A128" s="465"/>
      <c r="B128" s="450"/>
      <c r="C128" s="448"/>
      <c r="D128" s="448"/>
      <c r="E128" s="448"/>
      <c r="F128" s="448"/>
      <c r="G128" s="449"/>
    </row>
    <row r="129" spans="1:7" customFormat="1" ht="24" customHeight="1" thickBot="1" x14ac:dyDescent="0.3">
      <c r="A129" s="465"/>
      <c r="B129" s="432" t="s">
        <v>1051</v>
      </c>
      <c r="C129" s="448"/>
      <c r="D129" s="448"/>
      <c r="E129" s="448"/>
      <c r="F129" s="448"/>
      <c r="G129" s="449"/>
    </row>
    <row r="130" spans="1:7" customFormat="1" ht="24" customHeight="1" thickBot="1" x14ac:dyDescent="0.3">
      <c r="A130" s="465"/>
      <c r="B130" s="476" t="s">
        <v>1045</v>
      </c>
      <c r="C130" s="448"/>
      <c r="D130" s="448"/>
      <c r="E130" s="448"/>
      <c r="F130" s="448"/>
      <c r="G130" s="449"/>
    </row>
    <row r="131" spans="1:7" customFormat="1" ht="24" customHeight="1" thickBot="1" x14ac:dyDescent="0.3">
      <c r="A131" s="465"/>
      <c r="B131" s="454" t="s">
        <v>1072</v>
      </c>
      <c r="C131" s="1550" t="str">
        <f>B130</f>
        <v>Cooling Water</v>
      </c>
      <c r="D131" s="1551"/>
      <c r="E131" s="448"/>
      <c r="F131" s="448"/>
      <c r="G131" s="449"/>
    </row>
    <row r="132" spans="1:7" customFormat="1" ht="18.75" customHeight="1" thickBot="1" x14ac:dyDescent="0.3">
      <c r="A132" s="465"/>
      <c r="B132" s="437" t="str">
        <f ca="1">"$(" &amp; ref_year &amp; ")/ " &amp; VLOOKUP(TMP_NonE_Feed,Tbl_Other_Inputs_and_Byproducts,2,FALSE)</f>
        <v>$(2016)/ gal</v>
      </c>
      <c r="C132" s="481">
        <f ca="1">HLOOKUP(startup_year,Tbl_Other_Inputs_and_Byproducts,MATCH(TMP_NonE_Feed,Other_Inputs_List,0),FALSE)</f>
        <v>1.1334993860117458E-4</v>
      </c>
      <c r="D132" s="448"/>
      <c r="E132" s="448"/>
      <c r="F132" s="448"/>
      <c r="G132" s="449"/>
    </row>
    <row r="133" spans="1:7" customFormat="1" ht="18" customHeight="1" thickBot="1" x14ac:dyDescent="0.3">
      <c r="A133" s="465"/>
      <c r="B133" s="442" t="str">
        <f>IF(TMP_NonE_Type="Feed or utility","Usage per kg H2","Production per kg H2")</f>
        <v>Usage per kg H2</v>
      </c>
      <c r="C133" s="478"/>
      <c r="D133" s="448"/>
      <c r="E133" s="448"/>
      <c r="F133" s="448"/>
      <c r="G133" s="449"/>
    </row>
    <row r="134" spans="1:7" customFormat="1" ht="19.5" customHeight="1" thickBot="1" x14ac:dyDescent="0.3">
      <c r="A134" s="465"/>
      <c r="B134" s="442" t="str">
        <f>IF(TMP_NonE_Type = "Feed or utility", "Cost in Startup Year","Income in Startup Year")</f>
        <v>Cost in Startup Year</v>
      </c>
      <c r="C134" s="453">
        <f ca="1">design_cap*365*cap_factor*TMP_NonE_Usage*TMP_NonE_StartPrice</f>
        <v>0</v>
      </c>
      <c r="D134" s="448"/>
      <c r="E134" s="448"/>
      <c r="F134" s="448"/>
      <c r="G134" s="449"/>
    </row>
    <row r="135" spans="1:7" customFormat="1" ht="24" customHeight="1" thickBot="1" x14ac:dyDescent="0.3">
      <c r="A135" s="465"/>
      <c r="B135" s="451" t="s">
        <v>262</v>
      </c>
      <c r="C135" s="455" t="s">
        <v>23</v>
      </c>
      <c r="D135" s="452"/>
      <c r="E135" s="452"/>
      <c r="F135" s="452"/>
      <c r="G135" s="444"/>
    </row>
    <row r="136" spans="1:7" customFormat="1" ht="24" customHeight="1" x14ac:dyDescent="0.25">
      <c r="A136" s="468" t="s">
        <v>1053</v>
      </c>
      <c r="B136" s="328"/>
      <c r="C136" s="329"/>
      <c r="D136" s="329"/>
      <c r="E136" s="330"/>
      <c r="F136" s="329"/>
      <c r="G136" s="331"/>
    </row>
    <row r="137" spans="1:7" customFormat="1" ht="24" customHeight="1" x14ac:dyDescent="0.25">
      <c r="A137" s="468"/>
      <c r="B137" s="328" t="s">
        <v>1072</v>
      </c>
      <c r="C137" s="329" t="s">
        <v>1302</v>
      </c>
      <c r="D137" s="329" t="s">
        <v>837</v>
      </c>
      <c r="E137" s="330" t="s">
        <v>834</v>
      </c>
      <c r="F137" s="329" t="s">
        <v>262</v>
      </c>
      <c r="G137" s="331"/>
    </row>
    <row r="138" spans="1:7" customFormat="1" ht="24" customHeight="1" x14ac:dyDescent="0.25">
      <c r="A138" s="468"/>
      <c r="B138" s="328" t="s">
        <v>1046</v>
      </c>
      <c r="C138" s="329">
        <v>7.1248532835024025E-3</v>
      </c>
      <c r="D138" s="329">
        <v>3.355</v>
      </c>
      <c r="E138" s="330">
        <v>2979108.1488740137</v>
      </c>
      <c r="F138" s="329" t="s">
        <v>23</v>
      </c>
      <c r="G138" s="331"/>
    </row>
    <row r="139" spans="1:7" customFormat="1" ht="24" customHeight="1" x14ac:dyDescent="0.25">
      <c r="A139" s="468"/>
      <c r="B139" s="328" t="s">
        <v>1072</v>
      </c>
      <c r="C139" s="329" t="s">
        <v>1302</v>
      </c>
      <c r="D139" s="329" t="s">
        <v>837</v>
      </c>
      <c r="E139" s="330" t="s">
        <v>834</v>
      </c>
      <c r="F139" s="329" t="s">
        <v>262</v>
      </c>
      <c r="G139" s="331"/>
    </row>
    <row r="140" spans="1:7" customFormat="1" ht="24" customHeight="1" x14ac:dyDescent="0.25">
      <c r="A140" s="468"/>
      <c r="B140" s="328" t="s">
        <v>1045</v>
      </c>
      <c r="C140" s="329">
        <v>1.1334993860117458E-4</v>
      </c>
      <c r="D140" s="329">
        <v>1.4950000000000001</v>
      </c>
      <c r="E140" s="330">
        <v>21119.338015151436</v>
      </c>
      <c r="F140" s="329" t="s">
        <v>23</v>
      </c>
      <c r="G140" s="331"/>
    </row>
    <row r="141" spans="1:7" customFormat="1" ht="16" customHeight="1" x14ac:dyDescent="0.25">
      <c r="A141" s="465" t="s">
        <v>1054</v>
      </c>
      <c r="B141" s="328"/>
      <c r="C141" s="334"/>
      <c r="D141" s="334"/>
      <c r="E141" s="335"/>
      <c r="F141" s="334"/>
      <c r="G141" s="331"/>
    </row>
    <row r="142" spans="1:7" customFormat="1" ht="16" customHeight="1" thickBot="1" x14ac:dyDescent="0.3">
      <c r="A142" s="465" t="s">
        <v>1055</v>
      </c>
      <c r="B142" s="328"/>
      <c r="C142" s="329"/>
      <c r="D142" s="329"/>
      <c r="E142" s="335"/>
      <c r="F142" s="329"/>
      <c r="G142" s="331"/>
    </row>
    <row r="143" spans="1:7" customFormat="1" ht="17.149999999999999" customHeight="1" thickBot="1" x14ac:dyDescent="0.3">
      <c r="A143" s="465"/>
      <c r="B143" s="333" t="s">
        <v>862</v>
      </c>
      <c r="C143" s="245">
        <f>SUM(Dynamic_NonE_Feed_Total)</f>
        <v>3000227.4868891649</v>
      </c>
      <c r="D143" s="472"/>
      <c r="E143" s="1556"/>
      <c r="F143" s="1556"/>
      <c r="G143" s="1548"/>
    </row>
    <row r="144" spans="1:7" customFormat="1" ht="17.149999999999999" customHeight="1" thickBot="1" x14ac:dyDescent="0.3">
      <c r="A144" s="465" t="s">
        <v>257</v>
      </c>
      <c r="B144" s="333" t="s">
        <v>279</v>
      </c>
      <c r="C144" s="245">
        <f>SUM(Dynamic_NonE_Byprod_Total)</f>
        <v>0</v>
      </c>
      <c r="D144" s="472"/>
      <c r="E144" s="1556"/>
      <c r="F144" s="1556"/>
      <c r="G144" s="1548"/>
    </row>
    <row r="145" spans="1:7" customFormat="1" ht="26.5" customHeight="1" thickBot="1" x14ac:dyDescent="0.3">
      <c r="A145" s="465"/>
      <c r="B145" s="333"/>
      <c r="C145" s="329"/>
      <c r="D145" s="479"/>
      <c r="E145" s="1556"/>
      <c r="F145" s="1556"/>
      <c r="G145" s="1548"/>
    </row>
    <row r="146" spans="1:7" customFormat="1" ht="17.149999999999999" customHeight="1" thickBot="1" x14ac:dyDescent="0.3">
      <c r="A146" s="465" t="s">
        <v>250</v>
      </c>
      <c r="B146" s="327" t="s">
        <v>253</v>
      </c>
      <c r="C146" s="243">
        <f ca="1">Total_Energy_Feed_Cost</f>
        <v>135859838.0960815</v>
      </c>
      <c r="D146" s="472"/>
      <c r="E146" s="1552"/>
      <c r="F146" s="1552"/>
      <c r="G146" s="1553"/>
    </row>
    <row r="147" spans="1:7" customFormat="1" ht="17.149999999999999" customHeight="1" thickBot="1" x14ac:dyDescent="0.3">
      <c r="A147" s="465" t="s">
        <v>664</v>
      </c>
      <c r="B147" s="327" t="s">
        <v>254</v>
      </c>
      <c r="C147" s="243">
        <f ca="1">Total_Energy_Utilities_Cost+Total_Non_Energy_Feed_Cost</f>
        <v>9837069.535687631</v>
      </c>
      <c r="D147" s="472"/>
      <c r="E147" s="1552"/>
      <c r="F147" s="1552"/>
      <c r="G147" s="1553"/>
    </row>
    <row r="148" spans="1:7" customFormat="1" ht="31.5" customHeight="1" thickBot="1" x14ac:dyDescent="0.3">
      <c r="A148" s="465" t="s">
        <v>665</v>
      </c>
      <c r="B148" s="327" t="s">
        <v>255</v>
      </c>
      <c r="C148" s="509">
        <f>Total_Energy_Byproduct_Credit+total_non_energy_byproduct_credit</f>
        <v>0</v>
      </c>
      <c r="D148" s="472"/>
      <c r="E148" s="1560"/>
      <c r="F148" s="1560"/>
      <c r="G148" s="1561"/>
    </row>
    <row r="149" spans="1:7" customFormat="1" ht="45.75" customHeight="1" thickTop="1" thickBot="1" x14ac:dyDescent="0.35">
      <c r="A149" s="465"/>
      <c r="B149" s="506" t="s">
        <v>816</v>
      </c>
      <c r="C149" s="1031" t="str">
        <f>"Enter values in basis year (" &amp; BasisYear &amp; ") dollars"</f>
        <v>Enter values in basis year (2005) dollars</v>
      </c>
      <c r="D149" s="1031" t="s">
        <v>844</v>
      </c>
      <c r="E149" s="1031" t="str">
        <f xml:space="preserve"> "Reference Year ("&amp; ref_year &amp; ") Dollars"</f>
        <v>Reference Year (2016) Dollars</v>
      </c>
      <c r="F149" s="510"/>
      <c r="G149" s="511"/>
    </row>
    <row r="150" spans="1:7" s="35" customFormat="1" ht="39" customHeight="1" thickBot="1" x14ac:dyDescent="0.3">
      <c r="A150" s="465" t="s">
        <v>187</v>
      </c>
      <c r="B150" s="321" t="s">
        <v>364</v>
      </c>
      <c r="C150" s="1014">
        <v>2123000</v>
      </c>
      <c r="D150" s="1036">
        <f ca="1">Scale_Ratio * VLOOKUP(ref_year,Chemical_price_indexes,2,FALSE)/VLOOKUP(BasisYear,Chemical_price_indexes,2,FALSE)</f>
        <v>1.4260544580886279</v>
      </c>
      <c r="E150" s="509">
        <f ca="1">C150*D150</f>
        <v>3027513.6145221568</v>
      </c>
      <c r="F150" s="1559"/>
      <c r="G150" s="1524"/>
    </row>
    <row r="151" spans="1:7" s="35" customFormat="1" ht="38.25" customHeight="1" thickBot="1" x14ac:dyDescent="0.3">
      <c r="A151" s="465" t="s">
        <v>280</v>
      </c>
      <c r="B151" s="612" t="s">
        <v>929</v>
      </c>
      <c r="C151" s="1014">
        <v>0</v>
      </c>
      <c r="D151" s="1036">
        <f ca="1">Scale_Ratio * VLOOKUP(ref_year,Chemical_price_indexes,2,FALSE)/VLOOKUP(BasisYear,Chemical_price_indexes,2,FALSE)</f>
        <v>1.4260544580886279</v>
      </c>
      <c r="E151" s="509">
        <f ca="1">C151*D151</f>
        <v>0</v>
      </c>
      <c r="F151" s="1008"/>
      <c r="G151" s="1026"/>
    </row>
    <row r="152" spans="1:7" s="35" customFormat="1" ht="17.149999999999999" customHeight="1" thickBot="1" x14ac:dyDescent="0.3">
      <c r="A152" s="465" t="s">
        <v>188</v>
      </c>
      <c r="B152" s="322" t="s">
        <v>365</v>
      </c>
      <c r="C152" s="1014">
        <v>0</v>
      </c>
      <c r="D152" s="1036">
        <f ca="1">Scale_Ratio * VLOOKUP(ref_year,Chemical_price_indexes,2,FALSE)/VLOOKUP(BasisYear,Chemical_price_indexes,2,FALSE)</f>
        <v>1.4260544580886279</v>
      </c>
      <c r="E152" s="509">
        <f ca="1">C152*D152</f>
        <v>0</v>
      </c>
      <c r="F152" s="1008"/>
      <c r="G152" s="1026"/>
    </row>
    <row r="153" spans="1:7" s="35" customFormat="1" ht="17.149999999999999" customHeight="1" thickBot="1" x14ac:dyDescent="0.3">
      <c r="A153" s="465" t="s">
        <v>180</v>
      </c>
      <c r="B153" s="322" t="s">
        <v>366</v>
      </c>
      <c r="C153" s="1014">
        <v>0</v>
      </c>
      <c r="D153" s="1036">
        <f ca="1">Scale_Ratio * VLOOKUP(ref_year,Chemical_price_indexes,2,FALSE)/VLOOKUP(BasisYear,Chemical_price_indexes,2,FALSE)</f>
        <v>1.4260544580886279</v>
      </c>
      <c r="E153" s="509">
        <f ca="1">C153*D153</f>
        <v>0</v>
      </c>
      <c r="F153" s="1008"/>
      <c r="G153" s="1026"/>
    </row>
    <row r="154" spans="1:7" s="35" customFormat="1" ht="28.5" customHeight="1" thickBot="1" x14ac:dyDescent="0.3">
      <c r="A154" s="465" t="s">
        <v>176</v>
      </c>
      <c r="B154" s="322" t="s">
        <v>367</v>
      </c>
      <c r="C154" s="1271">
        <v>5.0000000000000001E-3</v>
      </c>
      <c r="D154"/>
      <c r="E154" s="1557" t="s">
        <v>1205</v>
      </c>
      <c r="F154" s="1557"/>
      <c r="G154" s="1558"/>
    </row>
    <row r="155" spans="1:7" s="35" customFormat="1" ht="17.149999999999999" customHeight="1" thickBot="1" x14ac:dyDescent="0.3">
      <c r="A155" s="465" t="s">
        <v>177</v>
      </c>
      <c r="B155" s="322" t="s">
        <v>368</v>
      </c>
      <c r="C155" s="1014">
        <v>0</v>
      </c>
      <c r="D155" s="1036">
        <f ca="1">Scale_Ratio * CPIinflator</f>
        <v>1.100724186648488</v>
      </c>
      <c r="E155" s="1000">
        <v>0</v>
      </c>
      <c r="F155" s="1008"/>
      <c r="G155" s="1026"/>
    </row>
    <row r="156" spans="1:7" s="35" customFormat="1" ht="17.149999999999999" customHeight="1" thickBot="1" x14ac:dyDescent="0.3">
      <c r="A156" s="465" t="s">
        <v>156</v>
      </c>
      <c r="B156" s="322" t="s">
        <v>369</v>
      </c>
      <c r="C156" s="1014">
        <v>0</v>
      </c>
      <c r="D156" s="1036">
        <f ca="1">Scale_Ratio * CPIinflator</f>
        <v>1.100724186648488</v>
      </c>
      <c r="E156" s="1000">
        <v>0</v>
      </c>
      <c r="F156" s="1008"/>
      <c r="G156" s="1026"/>
    </row>
    <row r="157" spans="1:7" s="35" customFormat="1" ht="17.149999999999999" customHeight="1" thickBot="1" x14ac:dyDescent="0.3">
      <c r="A157" s="465" t="s">
        <v>185</v>
      </c>
      <c r="B157" s="322" t="s">
        <v>370</v>
      </c>
      <c r="C157" s="1014">
        <v>0</v>
      </c>
      <c r="D157" s="1036">
        <f ca="1">Scale_Ratio * CPIinflator</f>
        <v>1.100724186648488</v>
      </c>
      <c r="E157" s="1000">
        <v>0</v>
      </c>
      <c r="F157" s="1012"/>
      <c r="G157" s="1013"/>
    </row>
    <row r="158" spans="1:7" s="35" customFormat="1" ht="17.149999999999999" customHeight="1" thickBot="1" x14ac:dyDescent="0.3">
      <c r="A158" s="465" t="s">
        <v>9</v>
      </c>
      <c r="B158" s="322" t="s">
        <v>960</v>
      </c>
      <c r="C158"/>
      <c r="D158" s="1040"/>
      <c r="E158" s="1000">
        <f>Det_CO2_OandMcost</f>
        <v>0</v>
      </c>
      <c r="F158" s="1012"/>
      <c r="G158" s="1548"/>
    </row>
    <row r="159" spans="1:7" s="35" customFormat="1" ht="17.149999999999999" customHeight="1" thickBot="1" x14ac:dyDescent="0.3">
      <c r="A159" s="465"/>
      <c r="B159" s="322" t="s">
        <v>957</v>
      </c>
      <c r="C159" s="1014">
        <v>0</v>
      </c>
      <c r="D159" s="1036">
        <f>CPIinflator</f>
        <v>1.100724186648488</v>
      </c>
      <c r="E159" s="1000">
        <v>0</v>
      </c>
      <c r="F159" s="1012"/>
      <c r="G159" s="1548"/>
    </row>
    <row r="160" spans="1:7" s="35" customFormat="1" ht="17.149999999999999" customHeight="1" thickBot="1" x14ac:dyDescent="0.3">
      <c r="A160" s="465"/>
      <c r="B160" s="322" t="s">
        <v>956</v>
      </c>
      <c r="C160"/>
      <c r="D160" s="1040"/>
      <c r="E160" s="830">
        <f ca="1">ROUND(Proc_CO2_tax*12/44*Proc_CO2_MTpY,-2)</f>
        <v>0</v>
      </c>
      <c r="F160" s="1012"/>
      <c r="G160" s="1548"/>
    </row>
    <row r="161" spans="1:7" s="35" customFormat="1" ht="17.149999999999999" customHeight="1" thickBot="1" x14ac:dyDescent="0.3">
      <c r="A161" s="465"/>
      <c r="B161" s="322" t="s">
        <v>958</v>
      </c>
      <c r="C161" s="1014">
        <v>0</v>
      </c>
      <c r="D161" s="1036">
        <f>CPIinflator</f>
        <v>1.100724186648488</v>
      </c>
      <c r="E161" s="830">
        <v>0</v>
      </c>
      <c r="F161" s="1012"/>
      <c r="G161" s="1548"/>
    </row>
    <row r="162" spans="1:7" s="35" customFormat="1" ht="17.149999999999999" customHeight="1" thickBot="1" x14ac:dyDescent="0.3">
      <c r="A162" s="465"/>
      <c r="B162" s="322" t="s">
        <v>959</v>
      </c>
      <c r="C162" s="1034"/>
      <c r="D162" s="1035"/>
      <c r="E162" s="830">
        <f ca="1">ROUND(Upstream_CO2_tax/1000*Upstream_GHG_total*output_kgyear,2)</f>
        <v>0</v>
      </c>
      <c r="F162" s="826"/>
      <c r="G162" s="1548"/>
    </row>
    <row r="163" spans="1:7" s="35" customFormat="1" ht="23.25" customHeight="1" thickBot="1" x14ac:dyDescent="0.3">
      <c r="A163" s="465" t="s">
        <v>260</v>
      </c>
      <c r="B163" s="336" t="s">
        <v>258</v>
      </c>
      <c r="C163" s="1032"/>
      <c r="D163" s="1033"/>
      <c r="E163" s="832">
        <f ca="1">ROUND(total_feedstock+total_utilities+total_other_raw-total_byproducts+var_misc+waste_treat+solidwaste_treat+royalties+operator_profit-tax_credit+CO2_OandMcost+Proc_CO2_taxpYear + Upstream_CO2_taxpYear,-2)</f>
        <v>148724400</v>
      </c>
      <c r="F163" s="1030"/>
      <c r="G163" s="1549"/>
    </row>
    <row r="164" spans="1:7" s="35" customFormat="1" x14ac:dyDescent="0.25">
      <c r="A164" s="464"/>
    </row>
    <row r="165" spans="1:7" s="35" customFormat="1" x14ac:dyDescent="0.25">
      <c r="A165" s="464"/>
    </row>
    <row r="166" spans="1:7" s="35" customFormat="1" x14ac:dyDescent="0.25">
      <c r="A166" s="464"/>
    </row>
    <row r="167" spans="1:7" s="35" customFormat="1" x14ac:dyDescent="0.25">
      <c r="A167" s="464"/>
    </row>
    <row r="168" spans="1:7" s="35" customFormat="1" x14ac:dyDescent="0.25">
      <c r="A168" s="464"/>
    </row>
    <row r="169" spans="1:7" s="35" customFormat="1" x14ac:dyDescent="0.25">
      <c r="A169" s="464"/>
    </row>
    <row r="170" spans="1:7" s="35" customFormat="1" x14ac:dyDescent="0.25">
      <c r="A170" s="464"/>
    </row>
    <row r="171" spans="1:7" s="35" customFormat="1" x14ac:dyDescent="0.25">
      <c r="A171" s="464"/>
    </row>
    <row r="172" spans="1:7" s="35" customFormat="1" x14ac:dyDescent="0.25">
      <c r="A172" s="464"/>
    </row>
    <row r="173" spans="1:7" s="35" customFormat="1" x14ac:dyDescent="0.25">
      <c r="A173" s="464"/>
    </row>
    <row r="174" spans="1:7" s="35" customFormat="1" x14ac:dyDescent="0.25">
      <c r="A174" s="464"/>
    </row>
    <row r="175" spans="1:7" s="35" customFormat="1" x14ac:dyDescent="0.25">
      <c r="A175" s="464"/>
    </row>
    <row r="176" spans="1:7" s="35" customFormat="1" x14ac:dyDescent="0.25">
      <c r="A176" s="464"/>
    </row>
    <row r="177" spans="1:4" s="35" customFormat="1" x14ac:dyDescent="0.25">
      <c r="A177" s="464"/>
    </row>
    <row r="178" spans="1:4" s="35" customFormat="1" x14ac:dyDescent="0.25">
      <c r="A178" s="464"/>
    </row>
    <row r="179" spans="1:4" s="35" customFormat="1" x14ac:dyDescent="0.25">
      <c r="A179" s="464"/>
    </row>
    <row r="180" spans="1:4" s="35" customFormat="1" x14ac:dyDescent="0.25">
      <c r="A180" s="464"/>
    </row>
    <row r="181" spans="1:4" s="35" customFormat="1" x14ac:dyDescent="0.25">
      <c r="A181" s="464"/>
    </row>
    <row r="182" spans="1:4" s="35" customFormat="1" x14ac:dyDescent="0.25">
      <c r="A182" s="464"/>
    </row>
    <row r="183" spans="1:4" s="35" customFormat="1" x14ac:dyDescent="0.25">
      <c r="A183" s="464"/>
    </row>
    <row r="184" spans="1:4" s="35" customFormat="1" x14ac:dyDescent="0.25">
      <c r="A184" s="464"/>
    </row>
    <row r="185" spans="1:4" s="35" customFormat="1" x14ac:dyDescent="0.25">
      <c r="A185" s="464"/>
    </row>
    <row r="186" spans="1:4" s="35" customFormat="1" x14ac:dyDescent="0.25">
      <c r="A186" s="464"/>
    </row>
    <row r="187" spans="1:4" s="35" customFormat="1" x14ac:dyDescent="0.25">
      <c r="A187" s="464"/>
    </row>
    <row r="188" spans="1:4" s="35" customFormat="1" x14ac:dyDescent="0.25">
      <c r="A188" s="464"/>
    </row>
    <row r="189" spans="1:4" s="35" customFormat="1" x14ac:dyDescent="0.25">
      <c r="A189" s="464"/>
    </row>
    <row r="190" spans="1:4" s="35" customFormat="1" x14ac:dyDescent="0.25">
      <c r="A190" s="464"/>
      <c r="B190" s="29"/>
      <c r="C190" s="34"/>
      <c r="D190" s="29"/>
    </row>
    <row r="191" spans="1:4" s="35" customFormat="1" x14ac:dyDescent="0.25">
      <c r="A191" s="464"/>
      <c r="B191" s="29"/>
      <c r="C191" s="34"/>
      <c r="D191" s="29"/>
    </row>
    <row r="192" spans="1:4" s="35" customFormat="1" x14ac:dyDescent="0.25">
      <c r="A192" s="464"/>
      <c r="B192" s="29"/>
      <c r="C192" s="34"/>
      <c r="D192" s="29"/>
    </row>
    <row r="193" spans="1:4" s="35" customFormat="1" x14ac:dyDescent="0.25">
      <c r="A193" s="464"/>
      <c r="B193" s="29"/>
      <c r="C193" s="34"/>
      <c r="D193" s="29"/>
    </row>
    <row r="194" spans="1:4" s="35" customFormat="1" x14ac:dyDescent="0.25">
      <c r="A194" s="464"/>
      <c r="B194" s="29"/>
      <c r="C194" s="34"/>
      <c r="D194" s="29"/>
    </row>
    <row r="195" spans="1:4" s="35" customFormat="1" x14ac:dyDescent="0.25">
      <c r="A195" s="464"/>
      <c r="B195" s="29"/>
      <c r="C195" s="34"/>
      <c r="D195" s="29"/>
    </row>
    <row r="196" spans="1:4" s="35" customFormat="1" x14ac:dyDescent="0.25">
      <c r="A196" s="464"/>
      <c r="B196" s="29"/>
      <c r="C196" s="34"/>
      <c r="D196" s="29"/>
    </row>
    <row r="197" spans="1:4" s="35" customFormat="1" x14ac:dyDescent="0.25">
      <c r="A197" s="464"/>
      <c r="B197" s="29"/>
      <c r="C197" s="34"/>
      <c r="D197" s="29"/>
    </row>
    <row r="198" spans="1:4" s="35" customFormat="1" x14ac:dyDescent="0.25">
      <c r="A198" s="464"/>
      <c r="B198" s="29"/>
      <c r="C198" s="34"/>
      <c r="D198" s="29"/>
    </row>
    <row r="199" spans="1:4" s="35" customFormat="1" x14ac:dyDescent="0.25">
      <c r="A199" s="464"/>
      <c r="B199" s="29"/>
      <c r="C199" s="34"/>
      <c r="D199" s="29"/>
    </row>
    <row r="200" spans="1:4" s="35" customFormat="1" x14ac:dyDescent="0.25">
      <c r="A200" s="464"/>
      <c r="B200" s="29"/>
      <c r="C200" s="34"/>
      <c r="D200" s="29"/>
    </row>
    <row r="201" spans="1:4" s="35" customFormat="1" x14ac:dyDescent="0.25">
      <c r="A201" s="464"/>
      <c r="B201" s="29"/>
      <c r="C201" s="34"/>
      <c r="D201" s="29"/>
    </row>
    <row r="202" spans="1:4" s="35" customFormat="1" x14ac:dyDescent="0.25">
      <c r="A202" s="464"/>
      <c r="B202" s="29"/>
      <c r="C202" s="34"/>
      <c r="D202" s="29"/>
    </row>
    <row r="203" spans="1:4" s="35" customFormat="1" x14ac:dyDescent="0.25">
      <c r="A203" s="464"/>
      <c r="B203" s="29"/>
      <c r="C203" s="34"/>
      <c r="D203" s="29"/>
    </row>
    <row r="204" spans="1:4" s="35" customFormat="1" x14ac:dyDescent="0.25">
      <c r="A204" s="464"/>
      <c r="B204" s="29"/>
      <c r="C204" s="34"/>
      <c r="D204" s="29"/>
    </row>
    <row r="205" spans="1:4" s="35" customFormat="1" x14ac:dyDescent="0.25">
      <c r="A205" s="464"/>
      <c r="B205" s="29"/>
      <c r="C205" s="34"/>
      <c r="D205" s="29"/>
    </row>
    <row r="206" spans="1:4" s="35" customFormat="1" x14ac:dyDescent="0.25">
      <c r="A206" s="464"/>
      <c r="B206" s="29"/>
      <c r="C206" s="34"/>
      <c r="D206" s="29"/>
    </row>
    <row r="207" spans="1:4" s="35" customFormat="1" x14ac:dyDescent="0.25">
      <c r="A207" s="464"/>
      <c r="B207" s="29"/>
      <c r="C207" s="34"/>
      <c r="D207" s="29"/>
    </row>
    <row r="208" spans="1:4" s="35" customFormat="1" x14ac:dyDescent="0.25">
      <c r="A208" s="464"/>
      <c r="B208" s="29"/>
      <c r="C208" s="34"/>
      <c r="D208" s="29"/>
    </row>
    <row r="209" spans="1:4" s="35" customFormat="1" x14ac:dyDescent="0.25">
      <c r="A209" s="464"/>
      <c r="B209" s="29"/>
      <c r="C209" s="34"/>
      <c r="D209" s="29"/>
    </row>
    <row r="210" spans="1:4" s="35" customFormat="1" x14ac:dyDescent="0.25">
      <c r="A210" s="464"/>
      <c r="B210" s="29"/>
      <c r="C210" s="34"/>
      <c r="D210" s="29"/>
    </row>
    <row r="211" spans="1:4" s="35" customFormat="1" x14ac:dyDescent="0.25">
      <c r="A211" s="464"/>
      <c r="B211" s="29"/>
      <c r="C211" s="34"/>
      <c r="D211" s="29"/>
    </row>
    <row r="212" spans="1:4" s="35" customFormat="1" x14ac:dyDescent="0.25">
      <c r="A212" s="464"/>
      <c r="B212" s="29"/>
      <c r="C212" s="34"/>
      <c r="D212" s="29"/>
    </row>
    <row r="213" spans="1:4" s="35" customFormat="1" x14ac:dyDescent="0.25">
      <c r="A213" s="464"/>
      <c r="B213" s="29"/>
      <c r="C213" s="34"/>
      <c r="D213" s="29"/>
    </row>
    <row r="214" spans="1:4" s="35" customFormat="1" x14ac:dyDescent="0.25">
      <c r="A214" s="464"/>
      <c r="B214" s="29"/>
      <c r="C214" s="34"/>
      <c r="D214" s="29"/>
    </row>
    <row r="215" spans="1:4" s="35" customFormat="1" x14ac:dyDescent="0.25">
      <c r="A215" s="464"/>
      <c r="B215" s="29"/>
      <c r="C215" s="34"/>
      <c r="D215" s="29"/>
    </row>
    <row r="216" spans="1:4" s="35" customFormat="1" x14ac:dyDescent="0.25">
      <c r="A216" s="464"/>
      <c r="B216" s="29"/>
      <c r="C216" s="34"/>
      <c r="D216" s="29"/>
    </row>
    <row r="217" spans="1:4" s="35" customFormat="1" x14ac:dyDescent="0.25">
      <c r="A217" s="464"/>
      <c r="B217" s="29"/>
      <c r="C217" s="34"/>
      <c r="D217" s="29"/>
    </row>
    <row r="218" spans="1:4" s="35" customFormat="1" x14ac:dyDescent="0.25">
      <c r="A218" s="464"/>
      <c r="B218" s="29"/>
      <c r="C218" s="34"/>
      <c r="D218" s="29"/>
    </row>
    <row r="219" spans="1:4" s="35" customFormat="1" x14ac:dyDescent="0.25">
      <c r="A219" s="464"/>
      <c r="B219" s="29"/>
      <c r="C219" s="34"/>
      <c r="D219" s="29"/>
    </row>
    <row r="220" spans="1:4" s="35" customFormat="1" x14ac:dyDescent="0.25">
      <c r="A220" s="464"/>
      <c r="B220" s="29"/>
      <c r="C220" s="34"/>
      <c r="D220" s="29"/>
    </row>
    <row r="221" spans="1:4" s="35" customFormat="1" x14ac:dyDescent="0.25">
      <c r="A221" s="464"/>
      <c r="B221" s="29"/>
      <c r="C221" s="34"/>
      <c r="D221" s="29"/>
    </row>
    <row r="222" spans="1:4" s="35" customFormat="1" x14ac:dyDescent="0.25">
      <c r="A222" s="464"/>
      <c r="B222" s="29"/>
      <c r="C222" s="34"/>
      <c r="D222" s="29"/>
    </row>
    <row r="223" spans="1:4" s="35" customFormat="1" x14ac:dyDescent="0.25">
      <c r="A223" s="464"/>
      <c r="B223" s="29"/>
      <c r="C223" s="34"/>
      <c r="D223" s="29"/>
    </row>
    <row r="224" spans="1:4" s="35" customFormat="1" x14ac:dyDescent="0.25">
      <c r="A224" s="464"/>
      <c r="B224" s="29"/>
      <c r="C224" s="34"/>
      <c r="D224" s="29"/>
    </row>
    <row r="225" spans="1:4" s="35" customFormat="1" x14ac:dyDescent="0.25">
      <c r="A225" s="464"/>
      <c r="B225" s="29"/>
      <c r="C225" s="34"/>
      <c r="D225" s="29"/>
    </row>
  </sheetData>
  <mergeCells count="50">
    <mergeCell ref="G158:G163"/>
    <mergeCell ref="C131:D131"/>
    <mergeCell ref="E146:G146"/>
    <mergeCell ref="D100:D101"/>
    <mergeCell ref="E88:G88"/>
    <mergeCell ref="E143:G145"/>
    <mergeCell ref="E154:G154"/>
    <mergeCell ref="F150:G150"/>
    <mergeCell ref="E147:G147"/>
    <mergeCell ref="E148:G148"/>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7:G87"/>
    <mergeCell ref="F59:F68"/>
    <mergeCell ref="E56:G56"/>
    <mergeCell ref="E89:G89"/>
    <mergeCell ref="E53:G53"/>
    <mergeCell ref="E52:G52"/>
    <mergeCell ref="E51:G51"/>
    <mergeCell ref="E55:G55"/>
    <mergeCell ref="E85:G85"/>
    <mergeCell ref="E86:G86"/>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61" xr:uid="{00000000-0002-0000-0300-000000000000}"/>
    <dataValidation allowBlank="1" showInputMessage="1" showErrorMessage="1" prompt="Enter specific year replacement costs on Replacement Costs sheet" sqref="C154"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9:C90" xr:uid="{00000000-0002-0000-0300-000003000000}"/>
    <dataValidation type="list" allowBlank="1" showInputMessage="1" showErrorMessage="1" sqref="B130"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6A4B5FD7-8912-4E6C-B5C5-5FCFC4956AA2}">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061" r:id="rId4" name="Label1">
          <controlPr defaultSize="0" autoLine="0" r:id="rId5">
            <anchor moveWithCells="1">
              <from>
                <xdr:col>3</xdr:col>
                <xdr:colOff>165100</xdr:colOff>
                <xdr:row>66</xdr:row>
                <xdr:rowOff>12700</xdr:rowOff>
              </from>
              <to>
                <xdr:col>3</xdr:col>
                <xdr:colOff>533400</xdr:colOff>
                <xdr:row>66</xdr:row>
                <xdr:rowOff>228600</xdr:rowOff>
              </to>
            </anchor>
          </controlPr>
        </control>
      </mc:Choice>
      <mc:Fallback>
        <control shapeId="1061" r:id="rId4" name="Label1"/>
      </mc:Fallback>
    </mc:AlternateContent>
    <mc:AlternateContent xmlns:mc="http://schemas.openxmlformats.org/markup-compatibility/2006">
      <mc:Choice Requires="x14">
        <control shapeId="1063" r:id="rId6" name="lblUseDfltPrice">
          <controlPr defaultSize="0" autoLine="0" r:id="rId7">
            <anchor moveWithCells="1">
              <from>
                <xdr:col>1</xdr:col>
                <xdr:colOff>2495550</xdr:colOff>
                <xdr:row>66</xdr:row>
                <xdr:rowOff>31750</xdr:rowOff>
              </from>
              <to>
                <xdr:col>1</xdr:col>
                <xdr:colOff>3924300</xdr:colOff>
                <xdr:row>67</xdr:row>
                <xdr:rowOff>0</xdr:rowOff>
              </to>
            </anchor>
          </controlPr>
        </control>
      </mc:Choice>
      <mc:Fallback>
        <control shapeId="1063" r:id="rId6" name="lblUseDfltPrice"/>
      </mc:Fallback>
    </mc:AlternateContent>
    <mc:AlternateContent xmlns:mc="http://schemas.openxmlformats.org/markup-compatibility/2006">
      <mc:Choice Requires="x14">
        <control shapeId="1076" r:id="rId8" name="chkNonEnergyByProd">
          <controlPr defaultSize="0" autoLine="0" r:id="rId9">
            <anchor moveWithCells="1">
              <from>
                <xdr:col>2</xdr:col>
                <xdr:colOff>285750</xdr:colOff>
                <xdr:row>128</xdr:row>
                <xdr:rowOff>247650</xdr:rowOff>
              </from>
              <to>
                <xdr:col>3</xdr:col>
                <xdr:colOff>336550</xdr:colOff>
                <xdr:row>129</xdr:row>
                <xdr:rowOff>273050</xdr:rowOff>
              </to>
            </anchor>
          </controlPr>
        </control>
      </mc:Choice>
      <mc:Fallback>
        <control shapeId="1076" r:id="rId8" name="chkNonEnergyByProd"/>
      </mc:Fallback>
    </mc:AlternateContent>
    <mc:AlternateContent xmlns:mc="http://schemas.openxmlformats.org/markup-compatibility/2006">
      <mc:Choice Requires="x14">
        <control shapeId="1083" r:id="rId10" name="lblUseOtherDefault">
          <controlPr defaultSize="0" autoLine="0" r:id="rId11">
            <anchor moveWithCells="1">
              <from>
                <xdr:col>1</xdr:col>
                <xdr:colOff>2222500</xdr:colOff>
                <xdr:row>131</xdr:row>
                <xdr:rowOff>38100</xdr:rowOff>
              </from>
              <to>
                <xdr:col>1</xdr:col>
                <xdr:colOff>3841750</xdr:colOff>
                <xdr:row>132</xdr:row>
                <xdr:rowOff>12700</xdr:rowOff>
              </to>
            </anchor>
          </controlPr>
        </control>
      </mc:Choice>
      <mc:Fallback>
        <control shapeId="1083" r:id="rId10" name="lblUseOtherDefault"/>
      </mc:Fallback>
    </mc:AlternateContent>
    <mc:AlternateContent xmlns:mc="http://schemas.openxmlformats.org/markup-compatibility/2006">
      <mc:Choice Requires="x14">
        <control shapeId="1085" r:id="rId12" name="Label3">
          <controlPr defaultSize="0" autoLine="0" r:id="rId13">
            <anchor moveWithCells="1">
              <from>
                <xdr:col>3</xdr:col>
                <xdr:colOff>298450</xdr:colOff>
                <xdr:row>131</xdr:row>
                <xdr:rowOff>50800</xdr:rowOff>
              </from>
              <to>
                <xdr:col>3</xdr:col>
                <xdr:colOff>660400</xdr:colOff>
                <xdr:row>132</xdr:row>
                <xdr:rowOff>31750</xdr:rowOff>
              </to>
            </anchor>
          </controlPr>
        </control>
      </mc:Choice>
      <mc:Fallback>
        <control shapeId="1085" r:id="rId12" name="Label3"/>
      </mc:Fallback>
    </mc:AlternateContent>
    <mc:AlternateContent xmlns:mc="http://schemas.openxmlformats.org/markup-compatibility/2006">
      <mc:Choice Requires="x14">
        <control shapeId="1093" r:id="rId14" name="chk_depr_type">
          <controlPr defaultSize="0" autoLine="0" r:id="rId15">
            <anchor moveWithCells="1">
              <from>
                <xdr:col>3</xdr:col>
                <xdr:colOff>203200</xdr:colOff>
                <xdr:row>40</xdr:row>
                <xdr:rowOff>184150</xdr:rowOff>
              </from>
              <to>
                <xdr:col>4</xdr:col>
                <xdr:colOff>0</xdr:colOff>
                <xdr:row>41</xdr:row>
                <xdr:rowOff>203200</xdr:rowOff>
              </to>
            </anchor>
          </controlPr>
        </control>
      </mc:Choice>
      <mc:Fallback>
        <control shapeId="1093" r:id="rId14" name="chk_depr_type"/>
      </mc:Fallback>
    </mc:AlternateContent>
    <mc:AlternateContent xmlns:mc="http://schemas.openxmlformats.org/markup-compatibility/2006">
      <mc:Choice Requires="x14">
        <control shapeId="1096" r:id="rId16" name="chk_equity">
          <controlPr defaultSize="0" autoLine="0" r:id="rId17">
            <anchor moveWithCells="1">
              <from>
                <xdr:col>3</xdr:col>
                <xdr:colOff>203200</xdr:colOff>
                <xdr:row>42</xdr:row>
                <xdr:rowOff>12700</xdr:rowOff>
              </from>
              <to>
                <xdr:col>4</xdr:col>
                <xdr:colOff>0</xdr:colOff>
                <xdr:row>43</xdr:row>
                <xdr:rowOff>44450</xdr:rowOff>
              </to>
            </anchor>
          </controlPr>
        </control>
      </mc:Choice>
      <mc:Fallback>
        <control shapeId="1096" r:id="rId16" name="chk_equity"/>
      </mc:Fallback>
    </mc:AlternateContent>
    <mc:AlternateContent xmlns:mc="http://schemas.openxmlformats.org/markup-compatibility/2006">
      <mc:Choice Requires="x14">
        <control shapeId="1097" r:id="rId18" name="chk_ref_year">
          <controlPr defaultSize="0" autoLine="0" r:id="rId19">
            <anchor moveWithCells="1">
              <from>
                <xdr:col>3</xdr:col>
                <xdr:colOff>203200</xdr:colOff>
                <xdr:row>29</xdr:row>
                <xdr:rowOff>12700</xdr:rowOff>
              </from>
              <to>
                <xdr:col>4</xdr:col>
                <xdr:colOff>0</xdr:colOff>
                <xdr:row>30</xdr:row>
                <xdr:rowOff>69850</xdr:rowOff>
              </to>
            </anchor>
          </controlPr>
        </control>
      </mc:Choice>
      <mc:Fallback>
        <control shapeId="1097" r:id="rId18" name="chk_ref_year"/>
      </mc:Fallback>
    </mc:AlternateContent>
    <mc:AlternateContent xmlns:mc="http://schemas.openxmlformats.org/markup-compatibility/2006">
      <mc:Choice Requires="x14">
        <control shapeId="1098" r:id="rId20" name="chk_decom_percent">
          <controlPr defaultSize="0" autoLine="0" r:id="rId21">
            <anchor moveWithCells="1">
              <from>
                <xdr:col>3</xdr:col>
                <xdr:colOff>203200</xdr:colOff>
                <xdr:row>48</xdr:row>
                <xdr:rowOff>12700</xdr:rowOff>
              </from>
              <to>
                <xdr:col>4</xdr:col>
                <xdr:colOff>0</xdr:colOff>
                <xdr:row>49</xdr:row>
                <xdr:rowOff>38100</xdr:rowOff>
              </to>
            </anchor>
          </controlPr>
        </control>
      </mc:Choice>
      <mc:Fallback>
        <control shapeId="1098" r:id="rId20" name="chk_decom_percent"/>
      </mc:Fallback>
    </mc:AlternateContent>
    <mc:AlternateContent xmlns:mc="http://schemas.openxmlformats.org/markup-compatibility/2006">
      <mc:Choice Requires="x14">
        <control shapeId="1109" r:id="rId22" name="chk_salvage_perct">
          <controlPr defaultSize="0" autoLine="0" r:id="rId23">
            <anchor moveWithCells="1">
              <from>
                <xdr:col>3</xdr:col>
                <xdr:colOff>203200</xdr:colOff>
                <xdr:row>49</xdr:row>
                <xdr:rowOff>12700</xdr:rowOff>
              </from>
              <to>
                <xdr:col>4</xdr:col>
                <xdr:colOff>0</xdr:colOff>
                <xdr:row>50</xdr:row>
                <xdr:rowOff>38100</xdr:rowOff>
              </to>
            </anchor>
          </controlPr>
        </control>
      </mc:Choice>
      <mc:Fallback>
        <control shapeId="1109" r:id="rId22" name="chk_salvage_perct"/>
      </mc:Fallback>
    </mc:AlternateContent>
    <mc:AlternateContent xmlns:mc="http://schemas.openxmlformats.org/markup-compatibility/2006">
      <mc:Choice Requires="x14">
        <control shapeId="1110" r:id="rId24" name="chk_inflation_rate">
          <controlPr defaultSize="0" autoLine="0" r:id="rId25">
            <anchor moveWithCells="1">
              <from>
                <xdr:col>3</xdr:col>
                <xdr:colOff>203200</xdr:colOff>
                <xdr:row>50</xdr:row>
                <xdr:rowOff>12700</xdr:rowOff>
              </from>
              <to>
                <xdr:col>4</xdr:col>
                <xdr:colOff>0</xdr:colOff>
                <xdr:row>51</xdr:row>
                <xdr:rowOff>38100</xdr:rowOff>
              </to>
            </anchor>
          </controlPr>
        </control>
      </mc:Choice>
      <mc:Fallback>
        <control shapeId="1110" r:id="rId24" name="chk_inflation_rate"/>
      </mc:Fallback>
    </mc:AlternateContent>
    <mc:AlternateContent xmlns:mc="http://schemas.openxmlformats.org/markup-compatibility/2006">
      <mc:Choice Requires="x14">
        <control shapeId="1111" r:id="rId26" name="chk_real_irr">
          <controlPr defaultSize="0" autoLine="0" r:id="rId27">
            <anchor moveWithCells="1">
              <from>
                <xdr:col>3</xdr:col>
                <xdr:colOff>203200</xdr:colOff>
                <xdr:row>51</xdr:row>
                <xdr:rowOff>12700</xdr:rowOff>
              </from>
              <to>
                <xdr:col>4</xdr:col>
                <xdr:colOff>0</xdr:colOff>
                <xdr:row>52</xdr:row>
                <xdr:rowOff>44450</xdr:rowOff>
              </to>
            </anchor>
          </controlPr>
        </control>
      </mc:Choice>
      <mc:Fallback>
        <control shapeId="1111" r:id="rId26" name="chk_real_irr"/>
      </mc:Fallback>
    </mc:AlternateContent>
    <mc:AlternateContent xmlns:mc="http://schemas.openxmlformats.org/markup-compatibility/2006">
      <mc:Choice Requires="x14">
        <control shapeId="1112" r:id="rId28" name="chk_state_tax_rate">
          <controlPr defaultSize="0" autoLine="0" r:id="rId29">
            <anchor moveWithCells="1">
              <from>
                <xdr:col>3</xdr:col>
                <xdr:colOff>203200</xdr:colOff>
                <xdr:row>52</xdr:row>
                <xdr:rowOff>12700</xdr:rowOff>
              </from>
              <to>
                <xdr:col>4</xdr:col>
                <xdr:colOff>0</xdr:colOff>
                <xdr:row>53</xdr:row>
                <xdr:rowOff>38100</xdr:rowOff>
              </to>
            </anchor>
          </controlPr>
        </control>
      </mc:Choice>
      <mc:Fallback>
        <control shapeId="1112" r:id="rId28" name="chk_state_tax_rate"/>
      </mc:Fallback>
    </mc:AlternateContent>
    <mc:AlternateContent xmlns:mc="http://schemas.openxmlformats.org/markup-compatibility/2006">
      <mc:Choice Requires="x14">
        <control shapeId="1113" r:id="rId30" name="chk_fed_tax_rate">
          <controlPr defaultSize="0" autoLine="0" r:id="rId31">
            <anchor moveWithCells="1">
              <from>
                <xdr:col>3</xdr:col>
                <xdr:colOff>203200</xdr:colOff>
                <xdr:row>53</xdr:row>
                <xdr:rowOff>12700</xdr:rowOff>
              </from>
              <to>
                <xdr:col>4</xdr:col>
                <xdr:colOff>0</xdr:colOff>
                <xdr:row>54</xdr:row>
                <xdr:rowOff>44450</xdr:rowOff>
              </to>
            </anchor>
          </controlPr>
        </control>
      </mc:Choice>
      <mc:Fallback>
        <control shapeId="1113" r:id="rId30" name="chk_fed_tax_rate"/>
      </mc:Fallback>
    </mc:AlternateContent>
    <mc:AlternateContent xmlns:mc="http://schemas.openxmlformats.org/markup-compatibility/2006">
      <mc:Choice Requires="x14">
        <control shapeId="1114" r:id="rId32" name="chk_WorkingCap">
          <controlPr defaultSize="0" autoLine="0" r:id="rId33">
            <anchor moveWithCells="1">
              <from>
                <xdr:col>3</xdr:col>
                <xdr:colOff>203200</xdr:colOff>
                <xdr:row>55</xdr:row>
                <xdr:rowOff>12700</xdr:rowOff>
              </from>
              <to>
                <xdr:col>4</xdr:col>
                <xdr:colOff>0</xdr:colOff>
                <xdr:row>56</xdr:row>
                <xdr:rowOff>38100</xdr:rowOff>
              </to>
            </anchor>
          </controlPr>
        </control>
      </mc:Choice>
      <mc:Fallback>
        <control shapeId="1114" r:id="rId32" name="chk_WorkingCap"/>
      </mc:Fallback>
    </mc:AlternateContent>
    <mc:AlternateContent xmlns:mc="http://schemas.openxmlformats.org/markup-compatibility/2006">
      <mc:Choice Requires="x14">
        <control shapeId="1173" r:id="rId34" name="chk_overhead_rate">
          <controlPr defaultSize="0" autoLine="0" r:id="rId35">
            <anchor moveWithCells="1">
              <from>
                <xdr:col>3</xdr:col>
                <xdr:colOff>76200</xdr:colOff>
                <xdr:row>113</xdr:row>
                <xdr:rowOff>12700</xdr:rowOff>
              </from>
              <to>
                <xdr:col>3</xdr:col>
                <xdr:colOff>1358900</xdr:colOff>
                <xdr:row>114</xdr:row>
                <xdr:rowOff>69850</xdr:rowOff>
              </to>
            </anchor>
          </controlPr>
        </control>
      </mc:Choice>
      <mc:Fallback>
        <control shapeId="1173" r:id="rId34" name="chk_overhead_rate"/>
      </mc:Fallback>
    </mc:AlternateContent>
    <mc:AlternateContent xmlns:mc="http://schemas.openxmlformats.org/markup-compatibility/2006">
      <mc:Choice Requires="x14">
        <control shapeId="1174" r:id="rId36" name="chk_tax_ins_rate">
          <controlPr defaultSize="0" autoLine="0" r:id="rId37">
            <anchor moveWithCells="1">
              <from>
                <xdr:col>3</xdr:col>
                <xdr:colOff>57150</xdr:colOff>
                <xdr:row>116</xdr:row>
                <xdr:rowOff>38100</xdr:rowOff>
              </from>
              <to>
                <xdr:col>3</xdr:col>
                <xdr:colOff>1263650</xdr:colOff>
                <xdr:row>116</xdr:row>
                <xdr:rowOff>292100</xdr:rowOff>
              </to>
            </anchor>
          </controlPr>
        </control>
      </mc:Choice>
      <mc:Fallback>
        <control shapeId="1174" r:id="rId36" name="chk_tax_ins_rate"/>
      </mc:Fallback>
    </mc:AlternateContent>
    <mc:AlternateContent xmlns:mc="http://schemas.openxmlformats.org/markup-compatibility/2006">
      <mc:Choice Requires="x14">
        <control shapeId="1175" r:id="rId38" name="chk_royalties">
          <controlPr defaultSize="0" disabled="1" autoLine="0" r:id="rId39">
            <anchor moveWithCells="1">
              <from>
                <xdr:col>5</xdr:col>
                <xdr:colOff>184150</xdr:colOff>
                <xdr:row>154</xdr:row>
                <xdr:rowOff>12700</xdr:rowOff>
              </from>
              <to>
                <xdr:col>5</xdr:col>
                <xdr:colOff>1384300</xdr:colOff>
                <xdr:row>155</xdr:row>
                <xdr:rowOff>38100</xdr:rowOff>
              </to>
            </anchor>
          </controlPr>
        </control>
      </mc:Choice>
      <mc:Fallback>
        <control shapeId="1175" r:id="rId38" name="chk_royalties"/>
      </mc:Fallback>
    </mc:AlternateContent>
    <mc:AlternateContent xmlns:mc="http://schemas.openxmlformats.org/markup-compatibility/2006">
      <mc:Choice Requires="x14">
        <control shapeId="1176" r:id="rId40" name="chk_operator_profit">
          <controlPr defaultSize="0" disabled="1" autoLine="0" r:id="rId41">
            <anchor moveWithCells="1">
              <from>
                <xdr:col>5</xdr:col>
                <xdr:colOff>184150</xdr:colOff>
                <xdr:row>155</xdr:row>
                <xdr:rowOff>12700</xdr:rowOff>
              </from>
              <to>
                <xdr:col>5</xdr:col>
                <xdr:colOff>1384300</xdr:colOff>
                <xdr:row>156</xdr:row>
                <xdr:rowOff>38100</xdr:rowOff>
              </to>
            </anchor>
          </controlPr>
        </control>
      </mc:Choice>
      <mc:Fallback>
        <control shapeId="1176" r:id="rId40" name="chk_operator_profit"/>
      </mc:Fallback>
    </mc:AlternateContent>
    <mc:AlternateContent xmlns:mc="http://schemas.openxmlformats.org/markup-compatibility/2006">
      <mc:Choice Requires="x14">
        <control shapeId="1177" r:id="rId42" name="chk_tax_credit">
          <controlPr defaultSize="0" disabled="1" autoLine="0" r:id="rId43">
            <anchor moveWithCells="1">
              <from>
                <xdr:col>5</xdr:col>
                <xdr:colOff>184150</xdr:colOff>
                <xdr:row>156</xdr:row>
                <xdr:rowOff>0</xdr:rowOff>
              </from>
              <to>
                <xdr:col>5</xdr:col>
                <xdr:colOff>1384300</xdr:colOff>
                <xdr:row>157</xdr:row>
                <xdr:rowOff>38100</xdr:rowOff>
              </to>
            </anchor>
          </controlPr>
        </control>
      </mc:Choice>
      <mc:Fallback>
        <control shapeId="1177" r:id="rId42" name="chk_tax_credit"/>
      </mc:Fallback>
    </mc:AlternateContent>
    <mc:AlternateContent xmlns:mc="http://schemas.openxmlformats.org/markup-compatibility/2006">
      <mc:Choice Requires="x14">
        <control shapeId="1223" r:id="rId44" name="chk_Proc_CO2_tax">
          <controlPr defaultSize="0" disabled="1" autoLine="0" r:id="rId45">
            <anchor moveWithCells="1">
              <from>
                <xdr:col>5</xdr:col>
                <xdr:colOff>184150</xdr:colOff>
                <xdr:row>158</xdr:row>
                <xdr:rowOff>0</xdr:rowOff>
              </from>
              <to>
                <xdr:col>5</xdr:col>
                <xdr:colOff>1384300</xdr:colOff>
                <xdr:row>159</xdr:row>
                <xdr:rowOff>38100</xdr:rowOff>
              </to>
            </anchor>
          </controlPr>
        </control>
      </mc:Choice>
      <mc:Fallback>
        <control shapeId="1223" r:id="rId44" name="chk_Proc_CO2_tax"/>
      </mc:Fallback>
    </mc:AlternateContent>
    <mc:AlternateContent xmlns:mc="http://schemas.openxmlformats.org/markup-compatibility/2006">
      <mc:Choice Requires="x14">
        <control shapeId="1224" r:id="rId46" name="chk_Upstream_CO2_tax">
          <controlPr defaultSize="0" disabled="1" autoLine="0" r:id="rId47">
            <anchor moveWithCells="1">
              <from>
                <xdr:col>5</xdr:col>
                <xdr:colOff>184150</xdr:colOff>
                <xdr:row>160</xdr:row>
                <xdr:rowOff>0</xdr:rowOff>
              </from>
              <to>
                <xdr:col>5</xdr:col>
                <xdr:colOff>1384300</xdr:colOff>
                <xdr:row>161</xdr:row>
                <xdr:rowOff>38100</xdr:rowOff>
              </to>
            </anchor>
          </controlPr>
        </control>
      </mc:Choice>
      <mc:Fallback>
        <control shapeId="1224" r:id="rId46" name="chk_Upstream_CO2_tax"/>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115" zoomScaleNormal="115" workbookViewId="0">
      <selection activeCell="D20" sqref="D20"/>
    </sheetView>
  </sheetViews>
  <sheetFormatPr defaultColWidth="9.1796875" defaultRowHeight="12.5" x14ac:dyDescent="0.25"/>
  <cols>
    <col min="1" max="1" width="16.26953125" style="210" customWidth="1"/>
    <col min="2" max="2" width="17.453125" style="210" customWidth="1"/>
    <col min="3" max="5" width="19.54296875" style="210" customWidth="1"/>
    <col min="6" max="6" width="19.453125" style="210" customWidth="1"/>
    <col min="7" max="7" width="21.81640625" style="210" customWidth="1"/>
    <col min="8" max="8" width="23.26953125" style="210" customWidth="1"/>
    <col min="9" max="10" width="19.1796875" style="210" customWidth="1"/>
    <col min="11" max="11" width="47.26953125" style="210" customWidth="1"/>
    <col min="12" max="12" width="30.26953125" style="210" customWidth="1"/>
    <col min="13" max="13" width="40.1796875" style="210" customWidth="1"/>
    <col min="14" max="14" width="20" style="210" customWidth="1"/>
    <col min="15" max="16384" width="9.1796875" style="210"/>
  </cols>
  <sheetData>
    <row r="1" spans="1:12" x14ac:dyDescent="0.25">
      <c r="B1" s="38"/>
      <c r="C1" s="38"/>
      <c r="D1" s="38"/>
      <c r="E1" s="38"/>
      <c r="F1" s="38"/>
      <c r="G1" s="38"/>
    </row>
    <row r="2" spans="1:12" ht="22" x14ac:dyDescent="0.65">
      <c r="A2" s="815" t="s">
        <v>1027</v>
      </c>
      <c r="B2" s="38"/>
      <c r="C2" s="38"/>
      <c r="D2" s="38"/>
      <c r="E2" s="38"/>
      <c r="F2" s="38"/>
      <c r="G2" s="38"/>
    </row>
    <row r="3" spans="1:12" ht="13" x14ac:dyDescent="0.25">
      <c r="B3" s="41"/>
      <c r="C3" s="41"/>
      <c r="D3" s="41"/>
      <c r="E3" s="41"/>
      <c r="F3" s="41"/>
      <c r="G3" s="44"/>
      <c r="H3" s="211"/>
      <c r="I3" s="211"/>
      <c r="J3" s="211"/>
    </row>
    <row r="4" spans="1:12" ht="13" x14ac:dyDescent="0.25">
      <c r="B4" s="41"/>
      <c r="C4" s="41"/>
      <c r="D4" s="41"/>
      <c r="E4" s="41"/>
      <c r="F4" s="41"/>
      <c r="G4" s="44"/>
      <c r="H4" s="211"/>
      <c r="I4" s="211"/>
      <c r="J4" s="211"/>
    </row>
    <row r="5" spans="1:12" customFormat="1" ht="15.5" x14ac:dyDescent="0.35">
      <c r="C5" s="817" t="s">
        <v>233</v>
      </c>
      <c r="D5" s="817"/>
      <c r="E5" s="817"/>
    </row>
    <row r="6" spans="1:12" customFormat="1" x14ac:dyDescent="0.25"/>
    <row r="7" spans="1:12" customFormat="1" x14ac:dyDescent="0.25"/>
    <row r="8" spans="1:12" customFormat="1" x14ac:dyDescent="0.25"/>
    <row r="9" spans="1:12" customFormat="1" ht="13" x14ac:dyDescent="0.25">
      <c r="A9" s="816" t="str">
        <f>"NOTE: Enter costs in year "&amp;TEXT(BasisYear,"0")&amp;" $ - Do not inflate"</f>
        <v>NOTE: Enter costs in year 2005 $ - Do not inflate</v>
      </c>
    </row>
    <row r="10" spans="1:12" customFormat="1" ht="13" x14ac:dyDescent="0.25">
      <c r="A10" s="816" t="s">
        <v>1028</v>
      </c>
    </row>
    <row r="11" spans="1:12" customFormat="1" x14ac:dyDescent="0.25"/>
    <row r="12" spans="1:12" ht="13.5" thickBot="1" x14ac:dyDescent="0.35">
      <c r="A12" s="212"/>
      <c r="B12" s="212"/>
      <c r="C12" s="212"/>
      <c r="D12" s="212"/>
      <c r="E12" s="212"/>
      <c r="F12" s="212"/>
      <c r="G12" s="212"/>
      <c r="H12" s="213"/>
      <c r="I12" s="213"/>
      <c r="J12" s="213"/>
    </row>
    <row r="13" spans="1:12" ht="14" thickTop="1" thickBot="1" x14ac:dyDescent="0.35">
      <c r="A13" s="337" t="s">
        <v>1029</v>
      </c>
      <c r="B13" s="338"/>
      <c r="C13" s="339"/>
      <c r="D13" s="339"/>
      <c r="E13" s="339"/>
      <c r="F13" s="340"/>
      <c r="G13" s="341"/>
    </row>
    <row r="14" spans="1:12" ht="14" thickTop="1" thickBot="1" x14ac:dyDescent="0.35">
      <c r="A14" s="342"/>
      <c r="B14" s="343"/>
      <c r="C14" s="344" t="s">
        <v>1030</v>
      </c>
      <c r="D14" s="344"/>
      <c r="E14" s="344"/>
      <c r="F14" s="344" t="s">
        <v>1031</v>
      </c>
      <c r="G14" s="345" t="s">
        <v>1032</v>
      </c>
    </row>
    <row r="15" spans="1:12" s="209" customFormat="1" ht="79" thickTop="1" thickBot="1" x14ac:dyDescent="0.35">
      <c r="A15" s="346" t="s">
        <v>183</v>
      </c>
      <c r="B15" s="529">
        <f>replace_factor</f>
        <v>5.0000000000000001E-3</v>
      </c>
      <c r="C15" s="347"/>
      <c r="D15" s="347"/>
      <c r="E15" s="347"/>
      <c r="F15" s="348"/>
      <c r="G15" s="349" t="s">
        <v>1033</v>
      </c>
      <c r="I15" s="221"/>
      <c r="J15" s="210"/>
      <c r="K15" s="214"/>
    </row>
    <row r="16" spans="1:12" ht="53" thickTop="1" thickBot="1" x14ac:dyDescent="0.35">
      <c r="A16" s="350" t="s">
        <v>1034</v>
      </c>
      <c r="B16" s="351" t="s">
        <v>40</v>
      </c>
      <c r="C16" s="352" t="s">
        <v>1035</v>
      </c>
      <c r="D16" s="352" t="s">
        <v>1036</v>
      </c>
      <c r="E16" s="352" t="s">
        <v>1292</v>
      </c>
      <c r="F16" s="352" t="s">
        <v>1036</v>
      </c>
      <c r="G16" s="352" t="s">
        <v>1037</v>
      </c>
      <c r="H16" s="352" t="s">
        <v>1075</v>
      </c>
      <c r="I16" s="352" t="s">
        <v>1076</v>
      </c>
      <c r="J16" s="352" t="s">
        <v>1077</v>
      </c>
      <c r="K16" s="353" t="s">
        <v>1078</v>
      </c>
      <c r="L16" s="354" t="s">
        <v>1079</v>
      </c>
    </row>
    <row r="17" spans="1:12" ht="14" thickTop="1" thickBot="1" x14ac:dyDescent="0.35">
      <c r="A17" s="355"/>
      <c r="B17" s="356"/>
      <c r="C17" s="356"/>
      <c r="D17" s="356" t="str">
        <f>"Year "&amp;TEXT(BasisYear,"0")&amp;" $"</f>
        <v>Year 2005 $</v>
      </c>
      <c r="E17" s="356" t="str">
        <f>"Year "&amp;TEXT(ref_year,"0")&amp;" $"</f>
        <v>Year 2016 $</v>
      </c>
      <c r="F17" s="356" t="str">
        <f>"Year "&amp;TEXT(ref_year,"0")&amp;" $"</f>
        <v>Year 2016 $</v>
      </c>
      <c r="G17" s="356" t="str">
        <f>"Year "&amp;TEXT(ref_year,"0")&amp;" $"</f>
        <v>Year 2016 $</v>
      </c>
      <c r="H17" s="356" t="s">
        <v>1080</v>
      </c>
      <c r="I17" s="356"/>
      <c r="J17" s="356"/>
      <c r="K17" s="357"/>
      <c r="L17" s="358"/>
    </row>
    <row r="18" spans="1:12" ht="13" thickTop="1" x14ac:dyDescent="0.25">
      <c r="A18" s="92">
        <f>IF(C18&lt;&gt;"",'Cash Flow Analysis'!A65,"")</f>
        <v>2037</v>
      </c>
      <c r="B18" s="313">
        <f>construct+1</f>
        <v>4</v>
      </c>
      <c r="C18" s="313">
        <v>1</v>
      </c>
      <c r="D18" s="482"/>
      <c r="E18" s="215">
        <f>+'Carbon Sequestration'!$C$100*(C18&lt;=anal_period)</f>
        <v>0</v>
      </c>
      <c r="F18" s="215">
        <f t="shared" ref="F18:F57" si="0">(D18)*CPIinflator*CEPCIinflator+E18</f>
        <v>0</v>
      </c>
      <c r="G18" s="215">
        <f ca="1">IF(C18&gt;anal_period,0,IF(replace_factor&lt;&gt;"",replace_factor*depr_cap,0))</f>
        <v>929803.71535055211</v>
      </c>
      <c r="H18" s="216">
        <f ca="1">(F18+G18)*((1+inflation_rate)^(startup_year-ref_year))</f>
        <v>1460735.8679664948</v>
      </c>
      <c r="I18" s="359"/>
      <c r="J18" s="360"/>
      <c r="K18" s="361"/>
      <c r="L18" s="362"/>
    </row>
    <row r="19" spans="1:12" x14ac:dyDescent="0.25">
      <c r="A19" s="94">
        <f>IF(C19&lt;&gt;"",'Cash Flow Analysis'!A66,"")</f>
        <v>2038</v>
      </c>
      <c r="B19" s="314">
        <f t="shared" ref="B19:B57" si="1">IF(B18&lt;anal_period+construct,B18+1,"")</f>
        <v>5</v>
      </c>
      <c r="C19" s="314">
        <f t="shared" ref="C19:C57" si="2">IF(B19="","",C18+1)</f>
        <v>2</v>
      </c>
      <c r="D19" s="483"/>
      <c r="E19" s="217">
        <f>+'Carbon Sequestration'!$C$100*(C19&lt;=anal_period)</f>
        <v>0</v>
      </c>
      <c r="F19" s="217">
        <f t="shared" si="0"/>
        <v>0</v>
      </c>
      <c r="G19" s="217">
        <f t="shared" ref="G19:G57" ca="1" si="3">IF(C19&gt;anal_period,0,IF(replace_factor&lt;&gt;"",replace_factor*depr_cap,0))</f>
        <v>929803.71535055211</v>
      </c>
      <c r="H19" s="218">
        <f t="shared" ref="H19:H57" ca="1" si="4">(F19+G19)*((1+inflation_rate)^(startup_year-ref_year))</f>
        <v>1460735.8679664948</v>
      </c>
      <c r="I19" s="363"/>
      <c r="J19" s="364"/>
      <c r="K19" s="365"/>
      <c r="L19" s="366"/>
    </row>
    <row r="20" spans="1:12" x14ac:dyDescent="0.25">
      <c r="A20" s="94">
        <f>IF(C20&lt;&gt;"",'Cash Flow Analysis'!A67,"")</f>
        <v>2039</v>
      </c>
      <c r="B20" s="314">
        <f t="shared" si="1"/>
        <v>6</v>
      </c>
      <c r="C20" s="314">
        <f t="shared" si="2"/>
        <v>3</v>
      </c>
      <c r="D20" s="483"/>
      <c r="E20" s="217">
        <f>+'Carbon Sequestration'!$C$100*(C20&lt;=anal_period)</f>
        <v>0</v>
      </c>
      <c r="F20" s="217">
        <f t="shared" si="0"/>
        <v>0</v>
      </c>
      <c r="G20" s="217">
        <f t="shared" ca="1" si="3"/>
        <v>929803.71535055211</v>
      </c>
      <c r="H20" s="218">
        <f t="shared" ca="1" si="4"/>
        <v>1460735.8679664948</v>
      </c>
      <c r="I20" s="363"/>
      <c r="J20" s="364"/>
      <c r="K20" s="365"/>
      <c r="L20" s="366"/>
    </row>
    <row r="21" spans="1:12" x14ac:dyDescent="0.25">
      <c r="A21" s="94">
        <f>IF(C21&lt;&gt;"",'Cash Flow Analysis'!A68,"")</f>
        <v>2040</v>
      </c>
      <c r="B21" s="314">
        <f t="shared" si="1"/>
        <v>7</v>
      </c>
      <c r="C21" s="314">
        <f t="shared" si="2"/>
        <v>4</v>
      </c>
      <c r="D21" s="483"/>
      <c r="E21" s="217">
        <f>+'Carbon Sequestration'!$C$100*(C21&lt;=anal_period)</f>
        <v>0</v>
      </c>
      <c r="F21" s="217">
        <f t="shared" si="0"/>
        <v>0</v>
      </c>
      <c r="G21" s="217">
        <f t="shared" ca="1" si="3"/>
        <v>929803.71535055211</v>
      </c>
      <c r="H21" s="218">
        <f t="shared" ca="1" si="4"/>
        <v>1460735.8679664948</v>
      </c>
      <c r="I21" s="363"/>
      <c r="J21" s="364"/>
      <c r="K21" s="365"/>
      <c r="L21" s="366"/>
    </row>
    <row r="22" spans="1:12" x14ac:dyDescent="0.25">
      <c r="A22" s="94">
        <f>IF(C22&lt;&gt;"",'Cash Flow Analysis'!A69,"")</f>
        <v>2041</v>
      </c>
      <c r="B22" s="314">
        <f t="shared" si="1"/>
        <v>8</v>
      </c>
      <c r="C22" s="314">
        <f t="shared" si="2"/>
        <v>5</v>
      </c>
      <c r="D22" s="483"/>
      <c r="E22" s="217">
        <f>+'Carbon Sequestration'!$C$100*(C22&lt;=anal_period)</f>
        <v>0</v>
      </c>
      <c r="F22" s="217">
        <f t="shared" si="0"/>
        <v>0</v>
      </c>
      <c r="G22" s="217">
        <f t="shared" ca="1" si="3"/>
        <v>929803.71535055211</v>
      </c>
      <c r="H22" s="218">
        <f t="shared" ca="1" si="4"/>
        <v>1460735.8679664948</v>
      </c>
      <c r="I22" s="363"/>
      <c r="J22" s="364"/>
      <c r="K22" s="903"/>
      <c r="L22" s="904"/>
    </row>
    <row r="23" spans="1:12" x14ac:dyDescent="0.25">
      <c r="A23" s="94">
        <f>IF(C23&lt;&gt;"",'Cash Flow Analysis'!A70,"")</f>
        <v>2042</v>
      </c>
      <c r="B23" s="314">
        <f t="shared" si="1"/>
        <v>9</v>
      </c>
      <c r="C23" s="314">
        <f t="shared" si="2"/>
        <v>6</v>
      </c>
      <c r="D23" s="483"/>
      <c r="E23" s="217">
        <f>+'Carbon Sequestration'!$C$100*(C23&lt;=anal_period)</f>
        <v>0</v>
      </c>
      <c r="F23" s="217">
        <f t="shared" si="0"/>
        <v>0</v>
      </c>
      <c r="G23" s="217">
        <f t="shared" ca="1" si="3"/>
        <v>929803.71535055211</v>
      </c>
      <c r="H23" s="218">
        <f t="shared" ca="1" si="4"/>
        <v>1460735.8679664948</v>
      </c>
      <c r="I23" s="363"/>
      <c r="J23" s="364"/>
      <c r="K23" s="365"/>
      <c r="L23" s="366"/>
    </row>
    <row r="24" spans="1:12" x14ac:dyDescent="0.25">
      <c r="A24" s="94">
        <f>IF(C24&lt;&gt;"",'Cash Flow Analysis'!A71,"")</f>
        <v>2043</v>
      </c>
      <c r="B24" s="314">
        <f t="shared" si="1"/>
        <v>10</v>
      </c>
      <c r="C24" s="314">
        <f t="shared" si="2"/>
        <v>7</v>
      </c>
      <c r="D24" s="483"/>
      <c r="E24" s="217">
        <f>+'Carbon Sequestration'!$C$100*(C24&lt;=anal_period)</f>
        <v>0</v>
      </c>
      <c r="F24" s="217">
        <f t="shared" si="0"/>
        <v>0</v>
      </c>
      <c r="G24" s="217">
        <f t="shared" ca="1" si="3"/>
        <v>929803.71535055211</v>
      </c>
      <c r="H24" s="218">
        <f t="shared" ca="1" si="4"/>
        <v>1460735.8679664948</v>
      </c>
      <c r="I24" s="363"/>
      <c r="J24" s="364"/>
      <c r="K24" s="365"/>
      <c r="L24" s="366"/>
    </row>
    <row r="25" spans="1:12" x14ac:dyDescent="0.25">
      <c r="A25" s="94">
        <f>IF(C25&lt;&gt;"",'Cash Flow Analysis'!A72,"")</f>
        <v>2044</v>
      </c>
      <c r="B25" s="314">
        <f t="shared" si="1"/>
        <v>11</v>
      </c>
      <c r="C25" s="314">
        <f t="shared" si="2"/>
        <v>8</v>
      </c>
      <c r="D25" s="483"/>
      <c r="E25" s="217">
        <f>+'Carbon Sequestration'!$C$100*(C25&lt;=anal_period)</f>
        <v>0</v>
      </c>
      <c r="F25" s="217">
        <f t="shared" si="0"/>
        <v>0</v>
      </c>
      <c r="G25" s="217">
        <f t="shared" ca="1" si="3"/>
        <v>929803.71535055211</v>
      </c>
      <c r="H25" s="218">
        <f t="shared" ca="1" si="4"/>
        <v>1460735.8679664948</v>
      </c>
      <c r="I25" s="363"/>
      <c r="J25" s="364"/>
      <c r="K25" s="365"/>
      <c r="L25" s="366"/>
    </row>
    <row r="26" spans="1:12" x14ac:dyDescent="0.25">
      <c r="A26" s="94">
        <f>IF(C26&lt;&gt;"",'Cash Flow Analysis'!A73,"")</f>
        <v>2045</v>
      </c>
      <c r="B26" s="314">
        <f t="shared" si="1"/>
        <v>12</v>
      </c>
      <c r="C26" s="314">
        <f t="shared" si="2"/>
        <v>9</v>
      </c>
      <c r="D26" s="483"/>
      <c r="E26" s="217">
        <f>+'Carbon Sequestration'!$C$100*(C26&lt;=anal_period)</f>
        <v>0</v>
      </c>
      <c r="F26" s="217">
        <f t="shared" si="0"/>
        <v>0</v>
      </c>
      <c r="G26" s="217">
        <f t="shared" ca="1" si="3"/>
        <v>929803.71535055211</v>
      </c>
      <c r="H26" s="218">
        <f t="shared" ca="1" si="4"/>
        <v>1460735.8679664948</v>
      </c>
      <c r="I26" s="363"/>
      <c r="J26" s="364"/>
      <c r="K26" s="365"/>
      <c r="L26" s="366"/>
    </row>
    <row r="27" spans="1:12" x14ac:dyDescent="0.25">
      <c r="A27" s="94">
        <f>IF(C27&lt;&gt;"",'Cash Flow Analysis'!A74,"")</f>
        <v>2046</v>
      </c>
      <c r="B27" s="314">
        <f t="shared" si="1"/>
        <v>13</v>
      </c>
      <c r="C27" s="314">
        <f t="shared" si="2"/>
        <v>10</v>
      </c>
      <c r="D27" s="483"/>
      <c r="E27" s="217">
        <f>+'Carbon Sequestration'!$C$100*(C27&lt;=anal_period)</f>
        <v>0</v>
      </c>
      <c r="F27" s="217">
        <f t="shared" si="0"/>
        <v>0</v>
      </c>
      <c r="G27" s="217">
        <f t="shared" ca="1" si="3"/>
        <v>929803.71535055211</v>
      </c>
      <c r="H27" s="218">
        <f t="shared" ca="1" si="4"/>
        <v>1460735.8679664948</v>
      </c>
      <c r="I27" s="363"/>
      <c r="J27" s="364"/>
      <c r="K27" s="365"/>
      <c r="L27" s="366"/>
    </row>
    <row r="28" spans="1:12" x14ac:dyDescent="0.25">
      <c r="A28" s="94">
        <f>IF(C28&lt;&gt;"",'Cash Flow Analysis'!A75,"")</f>
        <v>2047</v>
      </c>
      <c r="B28" s="314">
        <f t="shared" si="1"/>
        <v>14</v>
      </c>
      <c r="C28" s="314">
        <f t="shared" si="2"/>
        <v>11</v>
      </c>
      <c r="D28" s="483"/>
      <c r="E28" s="217">
        <f>+'Carbon Sequestration'!$C$100*(C28&lt;=anal_period)</f>
        <v>0</v>
      </c>
      <c r="F28" s="217">
        <f t="shared" si="0"/>
        <v>0</v>
      </c>
      <c r="G28" s="217">
        <f t="shared" ca="1" si="3"/>
        <v>929803.71535055211</v>
      </c>
      <c r="H28" s="218">
        <f t="shared" ca="1" si="4"/>
        <v>1460735.8679664948</v>
      </c>
      <c r="I28" s="363"/>
      <c r="J28" s="364"/>
      <c r="K28" s="365"/>
      <c r="L28" s="366"/>
    </row>
    <row r="29" spans="1:12" x14ac:dyDescent="0.25">
      <c r="A29" s="94">
        <f>IF(C29&lt;&gt;"",'Cash Flow Analysis'!A76,"")</f>
        <v>2048</v>
      </c>
      <c r="B29" s="314">
        <f t="shared" si="1"/>
        <v>15</v>
      </c>
      <c r="C29" s="314">
        <f t="shared" si="2"/>
        <v>12</v>
      </c>
      <c r="D29" s="483"/>
      <c r="E29" s="217">
        <f>+'Carbon Sequestration'!$C$100*(C29&lt;=anal_period)</f>
        <v>0</v>
      </c>
      <c r="F29" s="217">
        <f t="shared" si="0"/>
        <v>0</v>
      </c>
      <c r="G29" s="217">
        <f t="shared" ca="1" si="3"/>
        <v>929803.71535055211</v>
      </c>
      <c r="H29" s="218">
        <f t="shared" ca="1" si="4"/>
        <v>1460735.8679664948</v>
      </c>
      <c r="I29" s="363"/>
      <c r="J29" s="364"/>
      <c r="K29" s="365"/>
      <c r="L29" s="366"/>
    </row>
    <row r="30" spans="1:12" x14ac:dyDescent="0.25">
      <c r="A30" s="94">
        <f>IF(C30&lt;&gt;"",'Cash Flow Analysis'!A77,"")</f>
        <v>2049</v>
      </c>
      <c r="B30" s="314">
        <f t="shared" si="1"/>
        <v>16</v>
      </c>
      <c r="C30" s="314">
        <f t="shared" si="2"/>
        <v>13</v>
      </c>
      <c r="D30" s="483"/>
      <c r="E30" s="217">
        <f>+'Carbon Sequestration'!$C$100*(C30&lt;=anal_period)</f>
        <v>0</v>
      </c>
      <c r="F30" s="217">
        <f t="shared" si="0"/>
        <v>0</v>
      </c>
      <c r="G30" s="217">
        <f t="shared" ca="1" si="3"/>
        <v>929803.71535055211</v>
      </c>
      <c r="H30" s="218">
        <f t="shared" ca="1" si="4"/>
        <v>1460735.8679664948</v>
      </c>
      <c r="I30" s="363"/>
      <c r="J30" s="364"/>
      <c r="K30" s="365"/>
      <c r="L30" s="366"/>
    </row>
    <row r="31" spans="1:12" x14ac:dyDescent="0.25">
      <c r="A31" s="94">
        <f>IF(C31&lt;&gt;"",'Cash Flow Analysis'!A78,"")</f>
        <v>2050</v>
      </c>
      <c r="B31" s="314">
        <f t="shared" si="1"/>
        <v>17</v>
      </c>
      <c r="C31" s="314">
        <f t="shared" si="2"/>
        <v>14</v>
      </c>
      <c r="D31" s="483"/>
      <c r="E31" s="217">
        <f>+'Carbon Sequestration'!$C$100*(C31&lt;=anal_period)</f>
        <v>0</v>
      </c>
      <c r="F31" s="217">
        <f t="shared" si="0"/>
        <v>0</v>
      </c>
      <c r="G31" s="217">
        <f t="shared" ca="1" si="3"/>
        <v>929803.71535055211</v>
      </c>
      <c r="H31" s="218">
        <f t="shared" ca="1" si="4"/>
        <v>1460735.8679664948</v>
      </c>
      <c r="I31" s="363"/>
      <c r="J31" s="364"/>
      <c r="K31" s="365"/>
      <c r="L31" s="366"/>
    </row>
    <row r="32" spans="1:12" x14ac:dyDescent="0.25">
      <c r="A32" s="94">
        <f>IF(C32&lt;&gt;"",'Cash Flow Analysis'!A79,"")</f>
        <v>2051</v>
      </c>
      <c r="B32" s="314">
        <f t="shared" si="1"/>
        <v>18</v>
      </c>
      <c r="C32" s="314">
        <f t="shared" si="2"/>
        <v>15</v>
      </c>
      <c r="D32" s="483"/>
      <c r="E32" s="217">
        <f>+'Carbon Sequestration'!$C$100*(C32&lt;=anal_period)</f>
        <v>0</v>
      </c>
      <c r="F32" s="217">
        <f t="shared" si="0"/>
        <v>0</v>
      </c>
      <c r="G32" s="217">
        <f t="shared" ca="1" si="3"/>
        <v>929803.71535055211</v>
      </c>
      <c r="H32" s="218">
        <f t="shared" ca="1" si="4"/>
        <v>1460735.8679664948</v>
      </c>
      <c r="I32" s="363"/>
      <c r="J32" s="364"/>
      <c r="K32" s="365"/>
      <c r="L32" s="366"/>
    </row>
    <row r="33" spans="1:12" x14ac:dyDescent="0.25">
      <c r="A33" s="94">
        <f>IF(C33&lt;&gt;"",'Cash Flow Analysis'!A80,"")</f>
        <v>2052</v>
      </c>
      <c r="B33" s="314">
        <f t="shared" si="1"/>
        <v>19</v>
      </c>
      <c r="C33" s="314">
        <f t="shared" si="2"/>
        <v>16</v>
      </c>
      <c r="D33" s="483"/>
      <c r="E33" s="217">
        <f>+'Carbon Sequestration'!$C$100*(C33&lt;=anal_period)</f>
        <v>0</v>
      </c>
      <c r="F33" s="217">
        <f t="shared" si="0"/>
        <v>0</v>
      </c>
      <c r="G33" s="217">
        <f t="shared" ca="1" si="3"/>
        <v>929803.71535055211</v>
      </c>
      <c r="H33" s="218">
        <f t="shared" ca="1" si="4"/>
        <v>1460735.8679664948</v>
      </c>
      <c r="I33" s="363"/>
      <c r="J33" s="364"/>
      <c r="K33" s="365"/>
      <c r="L33" s="366"/>
    </row>
    <row r="34" spans="1:12" x14ac:dyDescent="0.25">
      <c r="A34" s="94">
        <f>IF(C34&lt;&gt;"",'Cash Flow Analysis'!A81,"")</f>
        <v>2053</v>
      </c>
      <c r="B34" s="314">
        <f t="shared" si="1"/>
        <v>20</v>
      </c>
      <c r="C34" s="314">
        <f t="shared" si="2"/>
        <v>17</v>
      </c>
      <c r="D34" s="483"/>
      <c r="E34" s="217">
        <f>+'Carbon Sequestration'!$C$100*(C34&lt;=anal_period)</f>
        <v>0</v>
      </c>
      <c r="F34" s="217">
        <f t="shared" si="0"/>
        <v>0</v>
      </c>
      <c r="G34" s="217">
        <f t="shared" ca="1" si="3"/>
        <v>929803.71535055211</v>
      </c>
      <c r="H34" s="218">
        <f t="shared" ca="1" si="4"/>
        <v>1460735.8679664948</v>
      </c>
      <c r="I34" s="363"/>
      <c r="J34" s="364"/>
      <c r="K34" s="365"/>
      <c r="L34" s="366"/>
    </row>
    <row r="35" spans="1:12" x14ac:dyDescent="0.25">
      <c r="A35" s="94">
        <f>IF(C35&lt;&gt;"",'Cash Flow Analysis'!A82,"")</f>
        <v>2054</v>
      </c>
      <c r="B35" s="314">
        <f t="shared" si="1"/>
        <v>21</v>
      </c>
      <c r="C35" s="314">
        <f t="shared" si="2"/>
        <v>18</v>
      </c>
      <c r="D35" s="483"/>
      <c r="E35" s="217">
        <f>+'Carbon Sequestration'!$C$100*(C35&lt;=anal_period)</f>
        <v>0</v>
      </c>
      <c r="F35" s="217">
        <f t="shared" si="0"/>
        <v>0</v>
      </c>
      <c r="G35" s="217">
        <f t="shared" ca="1" si="3"/>
        <v>929803.71535055211</v>
      </c>
      <c r="H35" s="218">
        <f t="shared" ca="1" si="4"/>
        <v>1460735.8679664948</v>
      </c>
      <c r="I35" s="363"/>
      <c r="J35" s="364"/>
      <c r="K35" s="365"/>
      <c r="L35" s="366"/>
    </row>
    <row r="36" spans="1:12" x14ac:dyDescent="0.25">
      <c r="A36" s="94">
        <f>IF(C36&lt;&gt;"",'Cash Flow Analysis'!A83,"")</f>
        <v>2055</v>
      </c>
      <c r="B36" s="314">
        <f t="shared" si="1"/>
        <v>22</v>
      </c>
      <c r="C36" s="314">
        <f t="shared" si="2"/>
        <v>19</v>
      </c>
      <c r="D36" s="483"/>
      <c r="E36" s="217">
        <f>+'Carbon Sequestration'!$C$100*(C36&lt;=anal_period)</f>
        <v>0</v>
      </c>
      <c r="F36" s="217">
        <f t="shared" si="0"/>
        <v>0</v>
      </c>
      <c r="G36" s="217">
        <f t="shared" ca="1" si="3"/>
        <v>929803.71535055211</v>
      </c>
      <c r="H36" s="218">
        <f t="shared" ca="1" si="4"/>
        <v>1460735.8679664948</v>
      </c>
      <c r="I36" s="363"/>
      <c r="J36" s="364"/>
      <c r="K36" s="365"/>
      <c r="L36" s="366"/>
    </row>
    <row r="37" spans="1:12" x14ac:dyDescent="0.25">
      <c r="A37" s="94">
        <f>IF(C37&lt;&gt;"",'Cash Flow Analysis'!A84,"")</f>
        <v>2056</v>
      </c>
      <c r="B37" s="314">
        <f t="shared" si="1"/>
        <v>23</v>
      </c>
      <c r="C37" s="314">
        <f t="shared" si="2"/>
        <v>20</v>
      </c>
      <c r="D37" s="483"/>
      <c r="E37" s="217">
        <f>+'Carbon Sequestration'!$C$100*(C37&lt;=anal_period)</f>
        <v>0</v>
      </c>
      <c r="F37" s="217">
        <f t="shared" si="0"/>
        <v>0</v>
      </c>
      <c r="G37" s="217">
        <f t="shared" ca="1" si="3"/>
        <v>929803.71535055211</v>
      </c>
      <c r="H37" s="218">
        <f t="shared" ca="1" si="4"/>
        <v>1460735.8679664948</v>
      </c>
      <c r="I37" s="363"/>
      <c r="J37" s="364"/>
      <c r="K37" s="365"/>
      <c r="L37" s="366"/>
    </row>
    <row r="38" spans="1:12" x14ac:dyDescent="0.25">
      <c r="A38" s="94">
        <f>IF(C38&lt;&gt;"",'Cash Flow Analysis'!A85,"")</f>
        <v>2057</v>
      </c>
      <c r="B38" s="314">
        <f t="shared" si="1"/>
        <v>24</v>
      </c>
      <c r="C38" s="314">
        <f t="shared" si="2"/>
        <v>21</v>
      </c>
      <c r="D38" s="483"/>
      <c r="E38" s="217">
        <f>+'Carbon Sequestration'!$C$100*(C38&lt;=anal_period)</f>
        <v>0</v>
      </c>
      <c r="F38" s="217">
        <f t="shared" si="0"/>
        <v>0</v>
      </c>
      <c r="G38" s="217">
        <f t="shared" ca="1" si="3"/>
        <v>929803.71535055211</v>
      </c>
      <c r="H38" s="218">
        <f t="shared" ca="1" si="4"/>
        <v>1460735.8679664948</v>
      </c>
      <c r="I38" s="363"/>
      <c r="J38" s="364"/>
      <c r="K38" s="365"/>
      <c r="L38" s="366"/>
    </row>
    <row r="39" spans="1:12" x14ac:dyDescent="0.25">
      <c r="A39" s="94">
        <f>IF(C39&lt;&gt;"",'Cash Flow Analysis'!A86,"")</f>
        <v>2058</v>
      </c>
      <c r="B39" s="314">
        <f t="shared" si="1"/>
        <v>25</v>
      </c>
      <c r="C39" s="314">
        <f t="shared" si="2"/>
        <v>22</v>
      </c>
      <c r="D39" s="483"/>
      <c r="E39" s="217">
        <f>+'Carbon Sequestration'!$C$100*(C39&lt;=anal_period)</f>
        <v>0</v>
      </c>
      <c r="F39" s="217">
        <f t="shared" si="0"/>
        <v>0</v>
      </c>
      <c r="G39" s="217">
        <f t="shared" ca="1" si="3"/>
        <v>929803.71535055211</v>
      </c>
      <c r="H39" s="218">
        <f t="shared" ca="1" si="4"/>
        <v>1460735.8679664948</v>
      </c>
      <c r="I39" s="363"/>
      <c r="J39" s="364"/>
      <c r="K39" s="365"/>
      <c r="L39" s="366"/>
    </row>
    <row r="40" spans="1:12" x14ac:dyDescent="0.25">
      <c r="A40" s="94">
        <f>IF(C40&lt;&gt;"",'Cash Flow Analysis'!A87,"")</f>
        <v>2059</v>
      </c>
      <c r="B40" s="314">
        <f t="shared" si="1"/>
        <v>26</v>
      </c>
      <c r="C40" s="314">
        <f t="shared" si="2"/>
        <v>23</v>
      </c>
      <c r="D40" s="483"/>
      <c r="E40" s="217">
        <f>+'Carbon Sequestration'!$C$100*(C40&lt;=anal_period)</f>
        <v>0</v>
      </c>
      <c r="F40" s="217">
        <f t="shared" si="0"/>
        <v>0</v>
      </c>
      <c r="G40" s="217">
        <f t="shared" ca="1" si="3"/>
        <v>929803.71535055211</v>
      </c>
      <c r="H40" s="218">
        <f t="shared" ca="1" si="4"/>
        <v>1460735.8679664948</v>
      </c>
      <c r="I40" s="363"/>
      <c r="J40" s="364"/>
      <c r="K40" s="365"/>
      <c r="L40" s="366"/>
    </row>
    <row r="41" spans="1:12" x14ac:dyDescent="0.25">
      <c r="A41" s="94">
        <f>IF(C41&lt;&gt;"",'Cash Flow Analysis'!A88,"")</f>
        <v>2060</v>
      </c>
      <c r="B41" s="314">
        <f t="shared" si="1"/>
        <v>27</v>
      </c>
      <c r="C41" s="314">
        <f t="shared" si="2"/>
        <v>24</v>
      </c>
      <c r="D41" s="483"/>
      <c r="E41" s="217">
        <f>+'Carbon Sequestration'!$C$100*(C41&lt;=anal_period)</f>
        <v>0</v>
      </c>
      <c r="F41" s="217">
        <f t="shared" si="0"/>
        <v>0</v>
      </c>
      <c r="G41" s="217">
        <f t="shared" ca="1" si="3"/>
        <v>929803.71535055211</v>
      </c>
      <c r="H41" s="218">
        <f t="shared" ca="1" si="4"/>
        <v>1460735.8679664948</v>
      </c>
      <c r="I41" s="363"/>
      <c r="J41" s="364"/>
      <c r="K41" s="365"/>
      <c r="L41" s="366"/>
    </row>
    <row r="42" spans="1:12" x14ac:dyDescent="0.25">
      <c r="A42" s="94">
        <f>IF(C42&lt;&gt;"",'Cash Flow Analysis'!A89,"")</f>
        <v>2061</v>
      </c>
      <c r="B42" s="314">
        <f t="shared" si="1"/>
        <v>28</v>
      </c>
      <c r="C42" s="314">
        <f t="shared" si="2"/>
        <v>25</v>
      </c>
      <c r="D42" s="483"/>
      <c r="E42" s="217">
        <f>+'Carbon Sequestration'!$C$100*(C42&lt;=anal_period)</f>
        <v>0</v>
      </c>
      <c r="F42" s="217">
        <f t="shared" si="0"/>
        <v>0</v>
      </c>
      <c r="G42" s="217">
        <f t="shared" ca="1" si="3"/>
        <v>929803.71535055211</v>
      </c>
      <c r="H42" s="218">
        <f t="shared" ca="1" si="4"/>
        <v>1460735.8679664948</v>
      </c>
      <c r="I42" s="363"/>
      <c r="J42" s="364"/>
      <c r="K42" s="365"/>
      <c r="L42" s="366"/>
    </row>
    <row r="43" spans="1:12" x14ac:dyDescent="0.25">
      <c r="A43" s="94">
        <f>IF(C43&lt;&gt;"",'Cash Flow Analysis'!A90,"")</f>
        <v>2062</v>
      </c>
      <c r="B43" s="314">
        <f t="shared" si="1"/>
        <v>29</v>
      </c>
      <c r="C43" s="314">
        <f t="shared" si="2"/>
        <v>26</v>
      </c>
      <c r="D43" s="483"/>
      <c r="E43" s="217">
        <f>+'Carbon Sequestration'!$C$100*(C43&lt;=anal_period)</f>
        <v>0</v>
      </c>
      <c r="F43" s="217">
        <f t="shared" si="0"/>
        <v>0</v>
      </c>
      <c r="G43" s="217">
        <f t="shared" ca="1" si="3"/>
        <v>929803.71535055211</v>
      </c>
      <c r="H43" s="218">
        <f t="shared" ca="1" si="4"/>
        <v>1460735.8679664948</v>
      </c>
      <c r="I43" s="363"/>
      <c r="J43" s="364"/>
      <c r="K43" s="365"/>
      <c r="L43" s="366"/>
    </row>
    <row r="44" spans="1:12" x14ac:dyDescent="0.25">
      <c r="A44" s="94">
        <f>IF(C44&lt;&gt;"",'Cash Flow Analysis'!A91,"")</f>
        <v>2063</v>
      </c>
      <c r="B44" s="314">
        <f t="shared" si="1"/>
        <v>30</v>
      </c>
      <c r="C44" s="314">
        <f t="shared" si="2"/>
        <v>27</v>
      </c>
      <c r="D44" s="483"/>
      <c r="E44" s="217">
        <f>+'Carbon Sequestration'!$C$100*(C44&lt;=anal_period)</f>
        <v>0</v>
      </c>
      <c r="F44" s="217">
        <f t="shared" si="0"/>
        <v>0</v>
      </c>
      <c r="G44" s="217">
        <f t="shared" ca="1" si="3"/>
        <v>929803.71535055211</v>
      </c>
      <c r="H44" s="218">
        <f t="shared" ca="1" si="4"/>
        <v>1460735.8679664948</v>
      </c>
      <c r="I44" s="363"/>
      <c r="J44" s="364"/>
      <c r="K44" s="365"/>
      <c r="L44" s="366"/>
    </row>
    <row r="45" spans="1:12" x14ac:dyDescent="0.25">
      <c r="A45" s="94">
        <f>IF(C45&lt;&gt;"",'Cash Flow Analysis'!A92,"")</f>
        <v>2064</v>
      </c>
      <c r="B45" s="314">
        <f t="shared" si="1"/>
        <v>31</v>
      </c>
      <c r="C45" s="314">
        <f t="shared" si="2"/>
        <v>28</v>
      </c>
      <c r="D45" s="483"/>
      <c r="E45" s="217">
        <f>+'Carbon Sequestration'!$C$100*(C45&lt;=anal_period)</f>
        <v>0</v>
      </c>
      <c r="F45" s="217">
        <f t="shared" si="0"/>
        <v>0</v>
      </c>
      <c r="G45" s="217">
        <f t="shared" ca="1" si="3"/>
        <v>929803.71535055211</v>
      </c>
      <c r="H45" s="218">
        <f t="shared" ca="1" si="4"/>
        <v>1460735.8679664948</v>
      </c>
      <c r="I45" s="363"/>
      <c r="J45" s="364"/>
      <c r="K45" s="365"/>
      <c r="L45" s="366"/>
    </row>
    <row r="46" spans="1:12" x14ac:dyDescent="0.25">
      <c r="A46" s="94">
        <f>IF(C46&lt;&gt;"",'Cash Flow Analysis'!A93,"")</f>
        <v>2065</v>
      </c>
      <c r="B46" s="314">
        <f t="shared" si="1"/>
        <v>32</v>
      </c>
      <c r="C46" s="314">
        <f t="shared" si="2"/>
        <v>29</v>
      </c>
      <c r="D46" s="483"/>
      <c r="E46" s="217">
        <f>+'Carbon Sequestration'!$C$100*(C46&lt;=anal_period)</f>
        <v>0</v>
      </c>
      <c r="F46" s="217">
        <f t="shared" si="0"/>
        <v>0</v>
      </c>
      <c r="G46" s="217">
        <f t="shared" ca="1" si="3"/>
        <v>929803.71535055211</v>
      </c>
      <c r="H46" s="218">
        <f t="shared" ca="1" si="4"/>
        <v>1460735.8679664948</v>
      </c>
      <c r="I46" s="363"/>
      <c r="J46" s="364"/>
      <c r="K46" s="365"/>
      <c r="L46" s="366"/>
    </row>
    <row r="47" spans="1:12" x14ac:dyDescent="0.25">
      <c r="A47" s="94">
        <f>IF(C47&lt;&gt;"",'Cash Flow Analysis'!A94,"")</f>
        <v>2066</v>
      </c>
      <c r="B47" s="314">
        <f t="shared" si="1"/>
        <v>33</v>
      </c>
      <c r="C47" s="314">
        <f t="shared" si="2"/>
        <v>30</v>
      </c>
      <c r="D47" s="483"/>
      <c r="E47" s="217">
        <f>+'Carbon Sequestration'!$C$100*(C47&lt;=anal_period)</f>
        <v>0</v>
      </c>
      <c r="F47" s="217">
        <f t="shared" si="0"/>
        <v>0</v>
      </c>
      <c r="G47" s="217">
        <f t="shared" ca="1" si="3"/>
        <v>929803.71535055211</v>
      </c>
      <c r="H47" s="218">
        <f t="shared" ca="1" si="4"/>
        <v>1460735.8679664948</v>
      </c>
      <c r="I47" s="363"/>
      <c r="J47" s="364"/>
      <c r="K47" s="365"/>
      <c r="L47" s="366"/>
    </row>
    <row r="48" spans="1:12" x14ac:dyDescent="0.25">
      <c r="A48" s="94">
        <f>IF(C48&lt;&gt;"",'Cash Flow Analysis'!A95,"")</f>
        <v>2067</v>
      </c>
      <c r="B48" s="314">
        <f t="shared" si="1"/>
        <v>34</v>
      </c>
      <c r="C48" s="314">
        <f t="shared" si="2"/>
        <v>31</v>
      </c>
      <c r="D48" s="483"/>
      <c r="E48" s="217">
        <f>+'Carbon Sequestration'!$C$100*(C48&lt;=anal_period)</f>
        <v>0</v>
      </c>
      <c r="F48" s="217">
        <f t="shared" si="0"/>
        <v>0</v>
      </c>
      <c r="G48" s="217">
        <f t="shared" ca="1" si="3"/>
        <v>929803.71535055211</v>
      </c>
      <c r="H48" s="218">
        <f t="shared" ca="1" si="4"/>
        <v>1460735.8679664948</v>
      </c>
      <c r="I48" s="363"/>
      <c r="J48" s="364"/>
      <c r="K48" s="365"/>
      <c r="L48" s="366"/>
    </row>
    <row r="49" spans="1:12" x14ac:dyDescent="0.25">
      <c r="A49" s="94">
        <f>IF(C49&lt;&gt;"",'Cash Flow Analysis'!A96,"")</f>
        <v>2068</v>
      </c>
      <c r="B49" s="314">
        <f t="shared" si="1"/>
        <v>35</v>
      </c>
      <c r="C49" s="314">
        <f t="shared" si="2"/>
        <v>32</v>
      </c>
      <c r="D49" s="483"/>
      <c r="E49" s="217">
        <f>+'Carbon Sequestration'!$C$100*(C49&lt;=anal_period)</f>
        <v>0</v>
      </c>
      <c r="F49" s="217">
        <f t="shared" si="0"/>
        <v>0</v>
      </c>
      <c r="G49" s="217">
        <f t="shared" ca="1" si="3"/>
        <v>929803.71535055211</v>
      </c>
      <c r="H49" s="218">
        <f t="shared" ca="1" si="4"/>
        <v>1460735.8679664948</v>
      </c>
      <c r="I49" s="363"/>
      <c r="J49" s="364"/>
      <c r="K49" s="365"/>
      <c r="L49" s="366"/>
    </row>
    <row r="50" spans="1:12" x14ac:dyDescent="0.25">
      <c r="A50" s="94">
        <f>IF(C50&lt;&gt;"",'Cash Flow Analysis'!A97,"")</f>
        <v>2069</v>
      </c>
      <c r="B50" s="314">
        <f t="shared" si="1"/>
        <v>36</v>
      </c>
      <c r="C50" s="314">
        <f t="shared" si="2"/>
        <v>33</v>
      </c>
      <c r="D50" s="483"/>
      <c r="E50" s="217">
        <f>+'Carbon Sequestration'!$C$100*(C50&lt;=anal_period)</f>
        <v>0</v>
      </c>
      <c r="F50" s="217">
        <f t="shared" si="0"/>
        <v>0</v>
      </c>
      <c r="G50" s="217">
        <f t="shared" ca="1" si="3"/>
        <v>929803.71535055211</v>
      </c>
      <c r="H50" s="218">
        <f t="shared" ca="1" si="4"/>
        <v>1460735.8679664948</v>
      </c>
      <c r="I50" s="363"/>
      <c r="J50" s="364"/>
      <c r="K50" s="365"/>
      <c r="L50" s="366"/>
    </row>
    <row r="51" spans="1:12" x14ac:dyDescent="0.25">
      <c r="A51" s="94">
        <f>IF(C51&lt;&gt;"",'Cash Flow Analysis'!A98,"")</f>
        <v>2070</v>
      </c>
      <c r="B51" s="314">
        <f t="shared" si="1"/>
        <v>37</v>
      </c>
      <c r="C51" s="314">
        <f t="shared" si="2"/>
        <v>34</v>
      </c>
      <c r="D51" s="483"/>
      <c r="E51" s="217">
        <f>+'Carbon Sequestration'!$C$100*(C51&lt;=anal_period)</f>
        <v>0</v>
      </c>
      <c r="F51" s="217">
        <f t="shared" si="0"/>
        <v>0</v>
      </c>
      <c r="G51" s="217">
        <f t="shared" ca="1" si="3"/>
        <v>929803.71535055211</v>
      </c>
      <c r="H51" s="218">
        <f t="shared" ca="1" si="4"/>
        <v>1460735.8679664948</v>
      </c>
      <c r="I51" s="363"/>
      <c r="J51" s="364"/>
      <c r="K51" s="365"/>
      <c r="L51" s="366"/>
    </row>
    <row r="52" spans="1:12" x14ac:dyDescent="0.25">
      <c r="A52" s="94">
        <f>IF(C52&lt;&gt;"",'Cash Flow Analysis'!A99,"")</f>
        <v>2071</v>
      </c>
      <c r="B52" s="314">
        <f t="shared" si="1"/>
        <v>38</v>
      </c>
      <c r="C52" s="314">
        <f t="shared" si="2"/>
        <v>35</v>
      </c>
      <c r="D52" s="483"/>
      <c r="E52" s="217">
        <f>+'Carbon Sequestration'!$C$100*(C52&lt;=anal_period)</f>
        <v>0</v>
      </c>
      <c r="F52" s="217">
        <f t="shared" si="0"/>
        <v>0</v>
      </c>
      <c r="G52" s="217">
        <f t="shared" ca="1" si="3"/>
        <v>929803.71535055211</v>
      </c>
      <c r="H52" s="218">
        <f t="shared" ca="1" si="4"/>
        <v>1460735.8679664948</v>
      </c>
      <c r="I52" s="363"/>
      <c r="J52" s="364"/>
      <c r="K52" s="365"/>
      <c r="L52" s="366"/>
    </row>
    <row r="53" spans="1:12" x14ac:dyDescent="0.25">
      <c r="A53" s="94">
        <f>IF(C53&lt;&gt;"",'Cash Flow Analysis'!A100,"")</f>
        <v>2072</v>
      </c>
      <c r="B53" s="314">
        <f t="shared" si="1"/>
        <v>39</v>
      </c>
      <c r="C53" s="314">
        <f t="shared" si="2"/>
        <v>36</v>
      </c>
      <c r="D53" s="483"/>
      <c r="E53" s="217">
        <f>+'Carbon Sequestration'!$C$100*(C53&lt;=anal_period)</f>
        <v>0</v>
      </c>
      <c r="F53" s="217">
        <f t="shared" si="0"/>
        <v>0</v>
      </c>
      <c r="G53" s="217">
        <f t="shared" ca="1" si="3"/>
        <v>929803.71535055211</v>
      </c>
      <c r="H53" s="218">
        <f t="shared" ca="1" si="4"/>
        <v>1460735.8679664948</v>
      </c>
      <c r="I53" s="363"/>
      <c r="J53" s="364"/>
      <c r="K53" s="365"/>
      <c r="L53" s="366"/>
    </row>
    <row r="54" spans="1:12" x14ac:dyDescent="0.25">
      <c r="A54" s="94">
        <f>IF(C54&lt;&gt;"",'Cash Flow Analysis'!A101,"")</f>
        <v>2073</v>
      </c>
      <c r="B54" s="314">
        <f t="shared" si="1"/>
        <v>40</v>
      </c>
      <c r="C54" s="314">
        <f t="shared" si="2"/>
        <v>37</v>
      </c>
      <c r="D54" s="483"/>
      <c r="E54" s="217">
        <f>+'Carbon Sequestration'!$C$100*(C54&lt;=anal_period)</f>
        <v>0</v>
      </c>
      <c r="F54" s="217">
        <f t="shared" si="0"/>
        <v>0</v>
      </c>
      <c r="G54" s="217">
        <f t="shared" ca="1" si="3"/>
        <v>929803.71535055211</v>
      </c>
      <c r="H54" s="218">
        <f t="shared" ca="1" si="4"/>
        <v>1460735.8679664948</v>
      </c>
      <c r="I54" s="363"/>
      <c r="J54" s="364"/>
      <c r="K54" s="365"/>
      <c r="L54" s="366"/>
    </row>
    <row r="55" spans="1:12" x14ac:dyDescent="0.25">
      <c r="A55" s="94">
        <f>IF(C55&lt;&gt;"",'Cash Flow Analysis'!A102,"")</f>
        <v>2074</v>
      </c>
      <c r="B55" s="314">
        <f t="shared" si="1"/>
        <v>41</v>
      </c>
      <c r="C55" s="314">
        <f t="shared" si="2"/>
        <v>38</v>
      </c>
      <c r="D55" s="483"/>
      <c r="E55" s="217">
        <f>+'Carbon Sequestration'!$C$100*(C55&lt;=anal_period)</f>
        <v>0</v>
      </c>
      <c r="F55" s="217">
        <f t="shared" si="0"/>
        <v>0</v>
      </c>
      <c r="G55" s="217">
        <f t="shared" ca="1" si="3"/>
        <v>929803.71535055211</v>
      </c>
      <c r="H55" s="218">
        <f t="shared" ca="1" si="4"/>
        <v>1460735.8679664948</v>
      </c>
      <c r="I55" s="363"/>
      <c r="J55" s="364"/>
      <c r="K55" s="365"/>
      <c r="L55" s="366"/>
    </row>
    <row r="56" spans="1:12" x14ac:dyDescent="0.25">
      <c r="A56" s="94">
        <f>IF(C56&lt;&gt;"",'Cash Flow Analysis'!A103,"")</f>
        <v>2075</v>
      </c>
      <c r="B56" s="314">
        <f t="shared" si="1"/>
        <v>42</v>
      </c>
      <c r="C56" s="314">
        <f t="shared" si="2"/>
        <v>39</v>
      </c>
      <c r="D56" s="483"/>
      <c r="E56" s="217">
        <f>+'Carbon Sequestration'!$C$100*(C56&lt;=anal_period)</f>
        <v>0</v>
      </c>
      <c r="F56" s="217">
        <f t="shared" si="0"/>
        <v>0</v>
      </c>
      <c r="G56" s="217">
        <f t="shared" ca="1" si="3"/>
        <v>929803.71535055211</v>
      </c>
      <c r="H56" s="218">
        <f t="shared" ca="1" si="4"/>
        <v>1460735.8679664948</v>
      </c>
      <c r="I56" s="363"/>
      <c r="J56" s="364"/>
      <c r="K56" s="365"/>
      <c r="L56" s="366"/>
    </row>
    <row r="57" spans="1:12" ht="13" thickBot="1" x14ac:dyDescent="0.3">
      <c r="A57" s="96">
        <f>IF(C57&lt;&gt;"",'Cash Flow Analysis'!A104,"")</f>
        <v>2076</v>
      </c>
      <c r="B57" s="315">
        <f t="shared" si="1"/>
        <v>43</v>
      </c>
      <c r="C57" s="315">
        <f t="shared" si="2"/>
        <v>40</v>
      </c>
      <c r="D57" s="484"/>
      <c r="E57" s="219">
        <f>+'Carbon Sequestration'!$C$100*(C57&lt;=anal_period)</f>
        <v>0</v>
      </c>
      <c r="F57" s="219">
        <f t="shared" si="0"/>
        <v>0</v>
      </c>
      <c r="G57" s="219">
        <f t="shared" ca="1" si="3"/>
        <v>929803.71535055211</v>
      </c>
      <c r="H57" s="220">
        <f t="shared" ca="1" si="4"/>
        <v>1460735.8679664948</v>
      </c>
      <c r="I57" s="367"/>
      <c r="J57" s="368"/>
      <c r="K57" s="369"/>
      <c r="L57" s="370"/>
    </row>
    <row r="58" spans="1:12" ht="13"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37"/>
  <sheetViews>
    <sheetView workbookViewId="0">
      <selection activeCell="C10" sqref="C10"/>
    </sheetView>
  </sheetViews>
  <sheetFormatPr defaultRowHeight="12.5" x14ac:dyDescent="0.25"/>
  <cols>
    <col min="2" max="2" width="35" customWidth="1"/>
    <col min="3" max="3" width="19.7265625" customWidth="1"/>
    <col min="4" max="5" width="18.7265625" customWidth="1"/>
    <col min="6" max="6" width="22.54296875" customWidth="1"/>
    <col min="7" max="7" width="51.1796875" customWidth="1"/>
    <col min="8" max="8" width="27.1796875" customWidth="1"/>
  </cols>
  <sheetData>
    <row r="2" spans="2:8" ht="22.5" customHeight="1" x14ac:dyDescent="0.65">
      <c r="B2" s="818" t="s">
        <v>83</v>
      </c>
      <c r="F2" s="1569"/>
      <c r="G2" s="1569"/>
      <c r="H2" s="1569"/>
    </row>
    <row r="3" spans="2:8" x14ac:dyDescent="0.25">
      <c r="F3" s="1569"/>
      <c r="G3" s="1569"/>
      <c r="H3" s="1569"/>
    </row>
    <row r="4" spans="2:8" ht="15.5" x14ac:dyDescent="0.35">
      <c r="C4" s="817" t="s">
        <v>233</v>
      </c>
      <c r="F4" s="1569"/>
      <c r="G4" s="1569"/>
      <c r="H4" s="1569"/>
    </row>
    <row r="5" spans="2:8" ht="15.5" x14ac:dyDescent="0.35">
      <c r="C5" s="817"/>
    </row>
    <row r="6" spans="2:8" ht="16" thickBot="1" x14ac:dyDescent="0.4">
      <c r="C6" s="817"/>
    </row>
    <row r="7" spans="2:8" ht="26.5" thickBot="1" x14ac:dyDescent="0.35">
      <c r="B7" s="988" t="s">
        <v>827</v>
      </c>
      <c r="C7" s="989">
        <v>379387</v>
      </c>
      <c r="D7" s="1570" t="s">
        <v>828</v>
      </c>
      <c r="E7" s="1571"/>
      <c r="F7" s="1571"/>
      <c r="G7" s="1571"/>
      <c r="H7" s="1572"/>
    </row>
    <row r="8" spans="2:8" ht="13.5" thickBot="1" x14ac:dyDescent="0.35">
      <c r="D8" s="1568" t="s">
        <v>1030</v>
      </c>
      <c r="E8" s="1566"/>
      <c r="F8" s="1566"/>
      <c r="G8" s="1566"/>
      <c r="H8" s="1566"/>
    </row>
    <row r="9" spans="2:8" ht="13" x14ac:dyDescent="0.3">
      <c r="B9" s="1" t="s">
        <v>842</v>
      </c>
      <c r="C9" s="1011">
        <f>BasisYear</f>
        <v>2005</v>
      </c>
      <c r="D9" s="1573"/>
      <c r="E9" s="1574"/>
      <c r="F9" s="1574"/>
      <c r="G9" s="1574"/>
      <c r="H9" s="1575"/>
    </row>
    <row r="10" spans="2:8" ht="13" x14ac:dyDescent="0.3">
      <c r="B10" s="1" t="s">
        <v>773</v>
      </c>
      <c r="C10" s="986">
        <v>2010</v>
      </c>
      <c r="D10" s="1562"/>
      <c r="E10" s="1563"/>
      <c r="F10" s="1563"/>
      <c r="G10" s="1563"/>
      <c r="H10" s="1564"/>
    </row>
    <row r="11" spans="2:8" ht="13" x14ac:dyDescent="0.3">
      <c r="B11" s="1" t="str">
        <f>"CEPCI Inflator ("&amp;BasisYear&amp;" to "&amp;CurrentYear&amp;")"</f>
        <v>CEPCI Inflator (2005 to 2010)</v>
      </c>
      <c r="C11" s="1009">
        <f>VLOOKUP(CurrentYear,Tbl_PlantCostIndexes,2,FALSE)/VLOOKUP(BasisYear,Tbl_PlantCostIndexes,2,FALSE)</f>
        <v>1.176420333190944</v>
      </c>
      <c r="D11" s="1562" t="s">
        <v>820</v>
      </c>
      <c r="E11" s="1563"/>
      <c r="F11" s="1563"/>
      <c r="G11" s="1563"/>
      <c r="H11" s="1564"/>
    </row>
    <row r="12" spans="2:8" ht="13.5" thickBot="1" x14ac:dyDescent="0.35">
      <c r="B12" s="1" t="str">
        <f>"Consumer Price Inflator ("&amp;CurrentYear&amp;" to "&amp;ref_year&amp;")"</f>
        <v>Consumer Price Inflator (2010 to 2016)</v>
      </c>
      <c r="C12" s="1010">
        <f>VLOOKUP(ref_year,DeflatorTable,2,FALSE)/VLOOKUP(CurrentYear,DeflatorTable,2,FALSE)</f>
        <v>1.100724186648488</v>
      </c>
      <c r="D12" s="1565" t="s">
        <v>821</v>
      </c>
      <c r="E12" s="1566"/>
      <c r="F12" s="1566"/>
      <c r="G12" s="1566"/>
      <c r="H12" s="1567"/>
    </row>
    <row r="13" spans="2:8" ht="13" thickBot="1" x14ac:dyDescent="0.3"/>
    <row r="14" spans="2:8" ht="16.5" thickTop="1" thickBot="1" x14ac:dyDescent="0.4">
      <c r="B14" s="971" t="str">
        <f xml:space="preserve"> "CAPITAL INVESTMENT (Inputs REQUIRED in Basis Year, (" &amp; BasisYear &amp; ") $)"</f>
        <v>CAPITAL INVESTMENT (Inputs REQUIRED in Basis Year, (2005) $)</v>
      </c>
      <c r="C14" s="972"/>
      <c r="D14" s="972"/>
      <c r="E14" s="972"/>
      <c r="F14" s="972"/>
      <c r="G14" s="972"/>
      <c r="H14" s="973"/>
    </row>
    <row r="15" spans="2:8" ht="32" thickTop="1" thickBot="1" x14ac:dyDescent="0.4">
      <c r="B15" s="513" t="s">
        <v>667</v>
      </c>
      <c r="C15" s="514" t="str">
        <f>"Baseline Uninstalled Costs $"&amp;BasisYear&amp;" Dollars"</f>
        <v>Baseline Uninstalled Costs $2005 Dollars</v>
      </c>
      <c r="D15" s="514" t="str">
        <f>"Baseline Uninstalled Costs $"&amp;ref_year&amp;" Dollars"</f>
        <v>Baseline Uninstalled Costs $2016 Dollars</v>
      </c>
      <c r="E15" s="514" t="s">
        <v>668</v>
      </c>
      <c r="F15" s="489" t="s">
        <v>1060</v>
      </c>
      <c r="G15" s="514" t="s">
        <v>1030</v>
      </c>
      <c r="H15" s="519" t="s">
        <v>670</v>
      </c>
    </row>
    <row r="16" spans="2:8" x14ac:dyDescent="0.25">
      <c r="B16" s="1272" t="s">
        <v>1413</v>
      </c>
      <c r="C16" s="1463">
        <v>37477341</v>
      </c>
      <c r="D16" s="517">
        <f>C16*CEPCIinflator*CPIinflator</f>
        <v>48529945.326862767</v>
      </c>
      <c r="E16" s="1274">
        <v>1.92</v>
      </c>
      <c r="F16" s="517">
        <f>D16*E16</f>
        <v>93177495.027576506</v>
      </c>
      <c r="G16" s="526"/>
      <c r="H16" s="736"/>
    </row>
    <row r="17" spans="2:8" x14ac:dyDescent="0.25">
      <c r="B17" s="1273" t="s">
        <v>1414</v>
      </c>
      <c r="C17" s="1464">
        <v>14973488</v>
      </c>
      <c r="D17" s="517">
        <f t="shared" ref="D17:D35" si="0">C17*CEPCIinflator*CPIinflator</f>
        <v>19389383.94782158</v>
      </c>
      <c r="E17" s="1275">
        <v>1.92</v>
      </c>
      <c r="F17" s="517">
        <f t="shared" ref="F17:F35" si="1">D17*E17</f>
        <v>37227617.179817431</v>
      </c>
      <c r="G17" s="527"/>
      <c r="H17" s="737"/>
    </row>
    <row r="18" spans="2:8" x14ac:dyDescent="0.25">
      <c r="B18" s="1273" t="s">
        <v>1415</v>
      </c>
      <c r="C18" s="1464">
        <v>222488</v>
      </c>
      <c r="D18" s="517">
        <f t="shared" si="0"/>
        <v>288102.89598408388</v>
      </c>
      <c r="E18" s="1275">
        <v>1.92</v>
      </c>
      <c r="F18" s="517">
        <f t="shared" si="1"/>
        <v>553157.56028944103</v>
      </c>
      <c r="G18" s="527"/>
      <c r="H18" s="737"/>
    </row>
    <row r="19" spans="2:8" x14ac:dyDescent="0.25">
      <c r="B19" s="1273"/>
      <c r="C19" s="1464"/>
      <c r="D19" s="517">
        <f t="shared" si="0"/>
        <v>0</v>
      </c>
      <c r="E19" s="1275"/>
      <c r="F19" s="517">
        <f t="shared" si="1"/>
        <v>0</v>
      </c>
      <c r="G19" s="527"/>
      <c r="H19" s="737"/>
    </row>
    <row r="20" spans="2:8" x14ac:dyDescent="0.25">
      <c r="B20" s="1273"/>
      <c r="C20" s="1464"/>
      <c r="D20" s="517">
        <f t="shared" si="0"/>
        <v>0</v>
      </c>
      <c r="E20" s="1275"/>
      <c r="F20" s="517">
        <f t="shared" si="1"/>
        <v>0</v>
      </c>
      <c r="G20" s="527"/>
      <c r="H20" s="737"/>
    </row>
    <row r="21" spans="2:8" x14ac:dyDescent="0.25">
      <c r="B21" s="1273"/>
      <c r="C21" s="1464"/>
      <c r="D21" s="517">
        <f t="shared" si="0"/>
        <v>0</v>
      </c>
      <c r="E21" s="1275"/>
      <c r="F21" s="517">
        <f t="shared" si="1"/>
        <v>0</v>
      </c>
      <c r="G21" s="527"/>
      <c r="H21" s="737"/>
    </row>
    <row r="22" spans="2:8" x14ac:dyDescent="0.25">
      <c r="B22" s="1273"/>
      <c r="C22" s="1464"/>
      <c r="D22" s="517">
        <f t="shared" si="0"/>
        <v>0</v>
      </c>
      <c r="E22" s="1275"/>
      <c r="F22" s="517">
        <f t="shared" si="1"/>
        <v>0</v>
      </c>
      <c r="G22" s="527"/>
      <c r="H22" s="737"/>
    </row>
    <row r="23" spans="2:8" x14ac:dyDescent="0.25">
      <c r="B23" s="1273"/>
      <c r="C23" s="1464"/>
      <c r="D23" s="517">
        <f t="shared" si="0"/>
        <v>0</v>
      </c>
      <c r="E23" s="1275"/>
      <c r="F23" s="517">
        <f t="shared" si="1"/>
        <v>0</v>
      </c>
      <c r="G23" s="527"/>
      <c r="H23" s="737"/>
    </row>
    <row r="24" spans="2:8" x14ac:dyDescent="0.25">
      <c r="B24" s="1273"/>
      <c r="C24" s="1465"/>
      <c r="D24" s="517">
        <f t="shared" si="0"/>
        <v>0</v>
      </c>
      <c r="E24" s="1275"/>
      <c r="F24" s="517">
        <f t="shared" si="1"/>
        <v>0</v>
      </c>
      <c r="G24" s="527"/>
      <c r="H24" s="737"/>
    </row>
    <row r="25" spans="2:8" x14ac:dyDescent="0.25">
      <c r="B25" s="1273"/>
      <c r="C25" s="1465"/>
      <c r="D25" s="517">
        <f t="shared" si="0"/>
        <v>0</v>
      </c>
      <c r="E25" s="1275"/>
      <c r="F25" s="517">
        <f t="shared" si="1"/>
        <v>0</v>
      </c>
      <c r="G25" s="527"/>
      <c r="H25" s="737"/>
    </row>
    <row r="26" spans="2:8" x14ac:dyDescent="0.25">
      <c r="B26" s="1273"/>
      <c r="C26" s="1465"/>
      <c r="D26" s="517">
        <f t="shared" si="0"/>
        <v>0</v>
      </c>
      <c r="E26" s="1275"/>
      <c r="F26" s="517">
        <f t="shared" si="1"/>
        <v>0</v>
      </c>
      <c r="G26" s="527"/>
      <c r="H26" s="737"/>
    </row>
    <row r="27" spans="2:8" x14ac:dyDescent="0.25">
      <c r="B27" s="1273"/>
      <c r="C27" s="1465"/>
      <c r="D27" s="517">
        <f t="shared" si="0"/>
        <v>0</v>
      </c>
      <c r="E27" s="1275"/>
      <c r="F27" s="517">
        <f t="shared" si="1"/>
        <v>0</v>
      </c>
      <c r="G27" s="527"/>
      <c r="H27" s="737"/>
    </row>
    <row r="28" spans="2:8" x14ac:dyDescent="0.25">
      <c r="B28" s="1273"/>
      <c r="C28" s="1465"/>
      <c r="D28" s="517">
        <f t="shared" si="0"/>
        <v>0</v>
      </c>
      <c r="E28" s="980"/>
      <c r="F28" s="517">
        <f t="shared" si="1"/>
        <v>0</v>
      </c>
      <c r="G28" s="527"/>
      <c r="H28" s="737"/>
    </row>
    <row r="29" spans="2:8" x14ac:dyDescent="0.25">
      <c r="B29" s="898"/>
      <c r="C29" s="983"/>
      <c r="D29" s="517">
        <f t="shared" si="0"/>
        <v>0</v>
      </c>
      <c r="E29" s="980"/>
      <c r="F29" s="517">
        <f t="shared" si="1"/>
        <v>0</v>
      </c>
      <c r="G29" s="527"/>
      <c r="H29" s="737"/>
    </row>
    <row r="30" spans="2:8" x14ac:dyDescent="0.25">
      <c r="B30" s="898"/>
      <c r="C30" s="982"/>
      <c r="D30" s="517">
        <f t="shared" si="0"/>
        <v>0</v>
      </c>
      <c r="E30" s="979"/>
      <c r="F30" s="517">
        <f t="shared" si="1"/>
        <v>0</v>
      </c>
      <c r="G30" s="527"/>
      <c r="H30" s="737"/>
    </row>
    <row r="31" spans="2:8" x14ac:dyDescent="0.25">
      <c r="B31" s="898"/>
      <c r="C31" s="982"/>
      <c r="D31" s="517">
        <f t="shared" si="0"/>
        <v>0</v>
      </c>
      <c r="E31" s="979"/>
      <c r="F31" s="517">
        <f t="shared" si="1"/>
        <v>0</v>
      </c>
      <c r="G31" s="527"/>
      <c r="H31" s="737"/>
    </row>
    <row r="32" spans="2:8" x14ac:dyDescent="0.25">
      <c r="B32" s="898"/>
      <c r="C32" s="982"/>
      <c r="D32" s="517">
        <f t="shared" si="0"/>
        <v>0</v>
      </c>
      <c r="E32" s="979"/>
      <c r="F32" s="517">
        <f t="shared" si="1"/>
        <v>0</v>
      </c>
      <c r="G32" s="527"/>
      <c r="H32" s="737"/>
    </row>
    <row r="33" spans="2:8" x14ac:dyDescent="0.25">
      <c r="B33" s="898"/>
      <c r="C33" s="982"/>
      <c r="D33" s="517">
        <f t="shared" si="0"/>
        <v>0</v>
      </c>
      <c r="E33" s="979"/>
      <c r="F33" s="517">
        <f t="shared" si="1"/>
        <v>0</v>
      </c>
      <c r="G33" s="527"/>
      <c r="H33" s="737"/>
    </row>
    <row r="34" spans="2:8" x14ac:dyDescent="0.25">
      <c r="B34" s="898"/>
      <c r="C34" s="982"/>
      <c r="D34" s="517">
        <f t="shared" si="0"/>
        <v>0</v>
      </c>
      <c r="E34" s="979"/>
      <c r="F34" s="517">
        <f t="shared" si="1"/>
        <v>0</v>
      </c>
      <c r="G34" s="527"/>
      <c r="H34" s="737"/>
    </row>
    <row r="35" spans="2:8" ht="13" thickBot="1" x14ac:dyDescent="0.3">
      <c r="B35" s="899"/>
      <c r="C35" s="984"/>
      <c r="D35" s="517">
        <f t="shared" si="0"/>
        <v>0</v>
      </c>
      <c r="E35" s="981"/>
      <c r="F35" s="517">
        <f t="shared" si="1"/>
        <v>0</v>
      </c>
      <c r="G35" s="528"/>
      <c r="H35" s="738"/>
    </row>
    <row r="36" spans="2:8" ht="13" thickBot="1" x14ac:dyDescent="0.3">
      <c r="B36" s="515"/>
      <c r="C36" s="896">
        <f>SUM(C16:C35)</f>
        <v>52673317</v>
      </c>
      <c r="D36" s="469">
        <f>SUM(D16:D35)</f>
        <v>68207432.170668423</v>
      </c>
      <c r="E36" s="518"/>
      <c r="F36" s="469">
        <f>SUM(F16:F35)</f>
        <v>130958269.76768339</v>
      </c>
      <c r="G36" s="348"/>
      <c r="H36" s="521"/>
    </row>
    <row r="37" spans="2:8" ht="13" thickTop="1" x14ac:dyDescent="0.25">
      <c r="C37" s="897"/>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47" sqref="C47"/>
    </sheetView>
  </sheetViews>
  <sheetFormatPr defaultColWidth="9.1796875" defaultRowHeight="12.5" x14ac:dyDescent="0.25"/>
  <cols>
    <col min="1" max="1" width="9.1796875" style="210"/>
    <col min="2" max="2" width="50.7265625" style="210" customWidth="1"/>
    <col min="3" max="3" width="19.7265625" style="210" customWidth="1"/>
    <col min="4" max="4" width="17" style="210" customWidth="1"/>
    <col min="5" max="7" width="18.7265625" style="210" customWidth="1"/>
    <col min="8" max="8" width="16.453125" style="210" customWidth="1"/>
    <col min="9" max="9" width="38" style="210" customWidth="1"/>
    <col min="10" max="10" width="40.1796875" style="210" customWidth="1"/>
    <col min="11" max="11" width="27.1796875" style="210" customWidth="1"/>
    <col min="12" max="16384" width="9.1796875" style="210"/>
  </cols>
  <sheetData>
    <row r="1" spans="2:11" ht="13" thickBot="1" x14ac:dyDescent="0.3">
      <c r="B1" s="210" t="s">
        <v>321</v>
      </c>
    </row>
    <row r="2" spans="2:11" ht="19" thickTop="1" thickBot="1" x14ac:dyDescent="0.45">
      <c r="B2" s="758" t="s">
        <v>849</v>
      </c>
      <c r="C2" s="759"/>
      <c r="D2" s="759"/>
      <c r="E2" s="759"/>
      <c r="F2" s="759"/>
      <c r="G2" s="759"/>
      <c r="H2" s="759"/>
      <c r="I2" s="759"/>
      <c r="J2" s="759"/>
      <c r="K2" s="760"/>
    </row>
    <row r="3" spans="2:11" ht="24" customHeight="1" thickBot="1" x14ac:dyDescent="0.3">
      <c r="B3" s="761" t="s">
        <v>673</v>
      </c>
      <c r="C3" s="762">
        <f>Baseline_Design_Capacity</f>
        <v>379387</v>
      </c>
      <c r="D3" s="1578" t="s">
        <v>829</v>
      </c>
      <c r="E3" s="1578"/>
      <c r="F3" s="1578"/>
      <c r="G3" s="763"/>
      <c r="H3" s="763"/>
      <c r="I3" s="763"/>
      <c r="J3" s="763"/>
      <c r="K3" s="764"/>
    </row>
    <row r="4" spans="2:11" ht="29.25" customHeight="1" thickBot="1" x14ac:dyDescent="0.3">
      <c r="B4" s="761" t="s">
        <v>671</v>
      </c>
      <c r="C4" s="765">
        <f ca="1">design_cap/Baseline_Design_Capacity</f>
        <v>1</v>
      </c>
      <c r="D4" s="1579" t="s">
        <v>677</v>
      </c>
      <c r="E4" s="1579"/>
      <c r="F4" s="1579"/>
      <c r="G4" s="763"/>
      <c r="H4" s="763"/>
      <c r="I4" s="763"/>
      <c r="J4" s="763"/>
      <c r="K4" s="764"/>
    </row>
    <row r="5" spans="2:11" ht="29.25" customHeight="1" thickBot="1" x14ac:dyDescent="0.3">
      <c r="B5" s="761" t="s">
        <v>846</v>
      </c>
      <c r="C5" s="765">
        <f ca="1">$G$27/Det_direct_cap</f>
        <v>1</v>
      </c>
      <c r="D5" s="1579" t="s">
        <v>848</v>
      </c>
      <c r="E5" s="1579"/>
      <c r="F5" s="1579"/>
      <c r="G5" s="763"/>
      <c r="H5" s="763"/>
      <c r="I5" s="763"/>
      <c r="J5" s="763"/>
      <c r="K5" s="764"/>
    </row>
    <row r="6" spans="2:11" ht="29.25" customHeight="1" thickBot="1" x14ac:dyDescent="0.3">
      <c r="B6" s="761" t="s">
        <v>1064</v>
      </c>
      <c r="C6" s="767">
        <v>0.6</v>
      </c>
      <c r="D6" s="1579" t="s">
        <v>845</v>
      </c>
      <c r="E6" s="1579"/>
      <c r="F6" s="1579"/>
      <c r="G6" s="763"/>
      <c r="H6" s="763"/>
      <c r="I6" s="763"/>
      <c r="J6" s="763"/>
      <c r="K6" s="764"/>
    </row>
    <row r="7" spans="2:11" ht="41.25" customHeight="1" thickBot="1" x14ac:dyDescent="0.3">
      <c r="B7" s="761" t="s">
        <v>946</v>
      </c>
      <c r="C7" s="768">
        <v>235000</v>
      </c>
      <c r="D7" s="1580" t="s">
        <v>922</v>
      </c>
      <c r="E7" s="1581"/>
      <c r="F7" s="1581"/>
      <c r="G7" s="763"/>
      <c r="H7" s="763"/>
      <c r="I7" s="763"/>
      <c r="J7" s="763"/>
      <c r="K7" s="764"/>
    </row>
    <row r="8" spans="2:11" ht="42.75" customHeight="1" thickBot="1" x14ac:dyDescent="0.3">
      <c r="B8" s="761" t="s">
        <v>947</v>
      </c>
      <c r="C8" s="768">
        <v>425000</v>
      </c>
      <c r="D8" s="1576" t="s">
        <v>921</v>
      </c>
      <c r="E8" s="1577"/>
      <c r="F8" s="1577"/>
      <c r="G8" s="763"/>
      <c r="H8" s="763"/>
      <c r="I8" s="763"/>
      <c r="J8" s="763"/>
      <c r="K8" s="764"/>
    </row>
    <row r="9" spans="2:11" ht="15" customHeight="1" x14ac:dyDescent="0.25">
      <c r="B9" s="761"/>
      <c r="C9" s="769"/>
      <c r="D9" s="766"/>
      <c r="E9" s="766"/>
      <c r="F9" s="766"/>
      <c r="G9" s="763"/>
      <c r="H9" s="763"/>
      <c r="I9" s="763"/>
      <c r="J9" s="763"/>
      <c r="K9" s="764"/>
    </row>
    <row r="10" spans="2:11" x14ac:dyDescent="0.25">
      <c r="B10" s="770"/>
      <c r="C10" s="763"/>
      <c r="D10" s="763"/>
      <c r="E10" s="763"/>
      <c r="F10" s="763"/>
      <c r="G10" s="763"/>
      <c r="H10" s="763"/>
      <c r="I10" s="763"/>
      <c r="J10" s="763"/>
      <c r="K10" s="764"/>
    </row>
    <row r="11" spans="2:11" ht="16" thickBot="1" x14ac:dyDescent="0.4">
      <c r="B11" s="485" t="str">
        <f xml:space="preserve"> "CAPITAL INVESTMENT (Inputs REQUIRED in Reference Year, (" &amp; ref_year &amp; ") $)"</f>
        <v>CAPITAL INVESTMENT (Inputs REQUIRED in Reference Year, (2016) $)</v>
      </c>
      <c r="C11" s="486"/>
      <c r="D11" s="486"/>
      <c r="E11" s="486"/>
      <c r="F11" s="486"/>
      <c r="G11" s="487"/>
      <c r="H11" s="487"/>
      <c r="I11" s="487"/>
      <c r="J11" s="488"/>
      <c r="K11" s="771"/>
    </row>
    <row r="12" spans="2:11" ht="27.5" thickTop="1" thickBot="1" x14ac:dyDescent="0.4">
      <c r="B12" s="513" t="s">
        <v>667</v>
      </c>
      <c r="C12" s="514" t="s">
        <v>675</v>
      </c>
      <c r="D12" s="514" t="s">
        <v>669</v>
      </c>
      <c r="E12" s="514" t="s">
        <v>676</v>
      </c>
      <c r="F12" s="514" t="s">
        <v>668</v>
      </c>
      <c r="G12" s="514" t="s">
        <v>847</v>
      </c>
      <c r="H12" s="514" t="s">
        <v>1063</v>
      </c>
      <c r="I12" s="514" t="s">
        <v>1030</v>
      </c>
      <c r="J12" s="519" t="s">
        <v>670</v>
      </c>
    </row>
    <row r="13" spans="2:11" x14ac:dyDescent="0.25">
      <c r="B13" s="753" t="str">
        <f>'Capital Costs'!B16</f>
        <v>Process Plant Equipment</v>
      </c>
      <c r="C13" s="741">
        <f>'Capital Costs'!D16</f>
        <v>48529945.326862767</v>
      </c>
      <c r="D13" s="740"/>
      <c r="E13" s="741">
        <f ca="1">IF($D13="",$C13*Scale_Ratio^Scaling_Factor_Exponent,$C13*Scale_Ratio^$D13)</f>
        <v>48529945.326862767</v>
      </c>
      <c r="F13" s="755">
        <f>'Capital Costs'!E16</f>
        <v>1.92</v>
      </c>
      <c r="G13" s="742">
        <f ca="1">$E13*$F13</f>
        <v>93177495.027576506</v>
      </c>
      <c r="H13" s="741">
        <f>C13*F13</f>
        <v>93177495.027576506</v>
      </c>
      <c r="I13" s="743"/>
      <c r="J13" s="522"/>
    </row>
    <row r="14" spans="2:11" x14ac:dyDescent="0.25">
      <c r="B14" s="754" t="str">
        <f>'Capital Costs'!B17</f>
        <v>Balance of Plant and Offsites</v>
      </c>
      <c r="C14" s="745">
        <f>'Capital Costs'!D17</f>
        <v>19389383.94782158</v>
      </c>
      <c r="D14" s="744"/>
      <c r="E14" s="745">
        <f t="shared" ref="E14:E26" ca="1" si="0">IF($D14="",$C14*Scale_Ratio^Scaling_Factor_Exponent,$C14*Scale_Ratio^$D14)</f>
        <v>19389383.94782158</v>
      </c>
      <c r="F14" s="756">
        <f>'Capital Costs'!E17</f>
        <v>1.92</v>
      </c>
      <c r="G14" s="746">
        <f t="shared" ref="G14:G26" ca="1" si="1">$E14*$F14</f>
        <v>37227617.179817431</v>
      </c>
      <c r="H14" s="745">
        <f t="shared" ref="H14:H26" si="2">C14*F14</f>
        <v>37227617.179817431</v>
      </c>
      <c r="I14" s="747"/>
      <c r="J14" s="523"/>
    </row>
    <row r="15" spans="2:11" x14ac:dyDescent="0.25">
      <c r="B15" s="754" t="str">
        <f>'Capital Costs'!B18</f>
        <v>SCR NOx Control on Stack</v>
      </c>
      <c r="C15" s="745">
        <f>'Capital Costs'!D18</f>
        <v>288102.89598408388</v>
      </c>
      <c r="D15" s="744"/>
      <c r="E15" s="745">
        <f t="shared" ca="1" si="0"/>
        <v>288102.89598408388</v>
      </c>
      <c r="F15" s="756">
        <f>'Capital Costs'!E18</f>
        <v>1.92</v>
      </c>
      <c r="G15" s="746">
        <f t="shared" ca="1" si="1"/>
        <v>553157.56028944103</v>
      </c>
      <c r="H15" s="745">
        <f t="shared" si="2"/>
        <v>553157.56028944103</v>
      </c>
      <c r="I15" s="747"/>
      <c r="J15" s="523"/>
    </row>
    <row r="16" spans="2:11" x14ac:dyDescent="0.25">
      <c r="B16" s="754">
        <f>'Capital Costs'!B19</f>
        <v>0</v>
      </c>
      <c r="C16" s="745">
        <f>'Capital Costs'!D19</f>
        <v>0</v>
      </c>
      <c r="D16" s="744"/>
      <c r="E16" s="745">
        <f t="shared" ca="1" si="0"/>
        <v>0</v>
      </c>
      <c r="F16" s="756">
        <f>'Capital Costs'!E19</f>
        <v>0</v>
      </c>
      <c r="G16" s="746">
        <f t="shared" ca="1" si="1"/>
        <v>0</v>
      </c>
      <c r="H16" s="745">
        <f t="shared" si="2"/>
        <v>0</v>
      </c>
      <c r="I16" s="747"/>
      <c r="J16" s="523"/>
    </row>
    <row r="17" spans="2:10" x14ac:dyDescent="0.25">
      <c r="B17" s="754">
        <f>'Capital Costs'!B20</f>
        <v>0</v>
      </c>
      <c r="C17" s="745">
        <f>'Capital Costs'!D20</f>
        <v>0</v>
      </c>
      <c r="D17" s="744"/>
      <c r="E17" s="745">
        <f t="shared" ca="1" si="0"/>
        <v>0</v>
      </c>
      <c r="F17" s="756">
        <f>'Capital Costs'!E20</f>
        <v>0</v>
      </c>
      <c r="G17" s="746">
        <f t="shared" ca="1" si="1"/>
        <v>0</v>
      </c>
      <c r="H17" s="745">
        <f t="shared" si="2"/>
        <v>0</v>
      </c>
      <c r="I17" s="747"/>
      <c r="J17" s="523"/>
    </row>
    <row r="18" spans="2:10" x14ac:dyDescent="0.25">
      <c r="B18" s="754">
        <f>'Capital Costs'!B21</f>
        <v>0</v>
      </c>
      <c r="C18" s="745">
        <f>'Capital Costs'!D21</f>
        <v>0</v>
      </c>
      <c r="D18" s="744"/>
      <c r="E18" s="745">
        <f t="shared" ca="1" si="0"/>
        <v>0</v>
      </c>
      <c r="F18" s="756">
        <f>'Capital Costs'!E21</f>
        <v>0</v>
      </c>
      <c r="G18" s="746">
        <f t="shared" ca="1" si="1"/>
        <v>0</v>
      </c>
      <c r="H18" s="745">
        <f t="shared" si="2"/>
        <v>0</v>
      </c>
      <c r="I18" s="747"/>
      <c r="J18" s="523"/>
    </row>
    <row r="19" spans="2:10" x14ac:dyDescent="0.25">
      <c r="B19" s="754">
        <f>'Capital Costs'!B22</f>
        <v>0</v>
      </c>
      <c r="C19" s="745">
        <f>'Capital Costs'!D22</f>
        <v>0</v>
      </c>
      <c r="D19" s="744"/>
      <c r="E19" s="745">
        <f t="shared" ca="1" si="0"/>
        <v>0</v>
      </c>
      <c r="F19" s="756">
        <f>'Capital Costs'!E22</f>
        <v>0</v>
      </c>
      <c r="G19" s="746">
        <f t="shared" ca="1" si="1"/>
        <v>0</v>
      </c>
      <c r="H19" s="745">
        <f t="shared" si="2"/>
        <v>0</v>
      </c>
      <c r="I19" s="747"/>
      <c r="J19" s="523"/>
    </row>
    <row r="20" spans="2:10" x14ac:dyDescent="0.25">
      <c r="B20" s="754">
        <f>'Capital Costs'!B23</f>
        <v>0</v>
      </c>
      <c r="C20" s="745">
        <f>'Capital Costs'!D23</f>
        <v>0</v>
      </c>
      <c r="D20" s="744"/>
      <c r="E20" s="745">
        <f t="shared" ca="1" si="0"/>
        <v>0</v>
      </c>
      <c r="F20" s="756">
        <f>'Capital Costs'!E23</f>
        <v>0</v>
      </c>
      <c r="G20" s="746">
        <f t="shared" ca="1" si="1"/>
        <v>0</v>
      </c>
      <c r="H20" s="745">
        <f t="shared" si="2"/>
        <v>0</v>
      </c>
      <c r="I20" s="747"/>
      <c r="J20" s="523"/>
    </row>
    <row r="21" spans="2:10" x14ac:dyDescent="0.25">
      <c r="B21" s="754">
        <f>'Capital Costs'!B24</f>
        <v>0</v>
      </c>
      <c r="C21" s="745">
        <f>'Capital Costs'!D24</f>
        <v>0</v>
      </c>
      <c r="D21" s="744"/>
      <c r="E21" s="745">
        <f t="shared" ca="1" si="0"/>
        <v>0</v>
      </c>
      <c r="F21" s="756">
        <f>'Capital Costs'!E24</f>
        <v>0</v>
      </c>
      <c r="G21" s="746">
        <f t="shared" ca="1" si="1"/>
        <v>0</v>
      </c>
      <c r="H21" s="745">
        <f t="shared" si="2"/>
        <v>0</v>
      </c>
      <c r="I21" s="747"/>
      <c r="J21" s="523"/>
    </row>
    <row r="22" spans="2:10" x14ac:dyDescent="0.25">
      <c r="B22" s="754">
        <f>'Capital Costs'!B25</f>
        <v>0</v>
      </c>
      <c r="C22" s="745">
        <f>'Capital Costs'!D25</f>
        <v>0</v>
      </c>
      <c r="D22" s="744"/>
      <c r="E22" s="745">
        <f t="shared" ca="1" si="0"/>
        <v>0</v>
      </c>
      <c r="F22" s="756">
        <f>'Capital Costs'!E25</f>
        <v>0</v>
      </c>
      <c r="G22" s="746">
        <f t="shared" ca="1" si="1"/>
        <v>0</v>
      </c>
      <c r="H22" s="745">
        <f t="shared" si="2"/>
        <v>0</v>
      </c>
      <c r="I22" s="747"/>
      <c r="J22" s="523"/>
    </row>
    <row r="23" spans="2:10" x14ac:dyDescent="0.25">
      <c r="B23" s="754">
        <f>'Capital Costs'!B26</f>
        <v>0</v>
      </c>
      <c r="C23" s="745">
        <f>'Capital Costs'!D26</f>
        <v>0</v>
      </c>
      <c r="D23" s="744"/>
      <c r="E23" s="745">
        <f t="shared" ca="1" si="0"/>
        <v>0</v>
      </c>
      <c r="F23" s="756">
        <f>'Capital Costs'!E26</f>
        <v>0</v>
      </c>
      <c r="G23" s="746">
        <f t="shared" ca="1" si="1"/>
        <v>0</v>
      </c>
      <c r="H23" s="745">
        <f t="shared" si="2"/>
        <v>0</v>
      </c>
      <c r="I23" s="747"/>
      <c r="J23" s="523"/>
    </row>
    <row r="24" spans="2:10" ht="13" x14ac:dyDescent="0.3">
      <c r="B24" s="754">
        <f>'Capital Costs'!B27</f>
        <v>0</v>
      </c>
      <c r="C24" s="745">
        <f>'Capital Costs'!D27</f>
        <v>0</v>
      </c>
      <c r="D24" s="748"/>
      <c r="E24" s="745">
        <f t="shared" ca="1" si="0"/>
        <v>0</v>
      </c>
      <c r="F24" s="756">
        <f>'Capital Costs'!E27</f>
        <v>0</v>
      </c>
      <c r="G24" s="746">
        <f t="shared" ca="1" si="1"/>
        <v>0</v>
      </c>
      <c r="H24" s="745">
        <f t="shared" si="2"/>
        <v>0</v>
      </c>
      <c r="I24" s="747"/>
      <c r="J24" s="523"/>
    </row>
    <row r="25" spans="2:10" ht="13" x14ac:dyDescent="0.3">
      <c r="B25" s="754">
        <f>'Capital Costs'!B28</f>
        <v>0</v>
      </c>
      <c r="C25" s="745">
        <f>'Capital Costs'!D28</f>
        <v>0</v>
      </c>
      <c r="D25" s="748"/>
      <c r="E25" s="745">
        <f t="shared" ca="1" si="0"/>
        <v>0</v>
      </c>
      <c r="F25" s="756">
        <f>'Capital Costs'!E28</f>
        <v>0</v>
      </c>
      <c r="G25" s="746">
        <f t="shared" ca="1" si="1"/>
        <v>0</v>
      </c>
      <c r="H25" s="745">
        <f t="shared" si="2"/>
        <v>0</v>
      </c>
      <c r="I25" s="747"/>
      <c r="J25" s="523"/>
    </row>
    <row r="26" spans="2:10" ht="13.5" thickBot="1" x14ac:dyDescent="0.35">
      <c r="B26" s="754">
        <f>'Capital Costs'!B29</f>
        <v>0</v>
      </c>
      <c r="C26" s="745">
        <f>'Capital Costs'!D29</f>
        <v>0</v>
      </c>
      <c r="D26" s="749"/>
      <c r="E26" s="750">
        <f t="shared" ca="1" si="0"/>
        <v>0</v>
      </c>
      <c r="F26" s="756">
        <f>'Capital Costs'!E29</f>
        <v>0</v>
      </c>
      <c r="G26" s="751">
        <f t="shared" ca="1" si="1"/>
        <v>0</v>
      </c>
      <c r="H26" s="750">
        <f t="shared" si="2"/>
        <v>0</v>
      </c>
      <c r="I26" s="752"/>
      <c r="J26" s="524"/>
    </row>
    <row r="27" spans="2:10" ht="13.5" thickBot="1" x14ac:dyDescent="0.35">
      <c r="B27" s="515" t="s">
        <v>672</v>
      </c>
      <c r="C27" s="516">
        <f>SUM(C13:C26)</f>
        <v>68207432.170668423</v>
      </c>
      <c r="D27" s="520"/>
      <c r="E27" s="516">
        <f ca="1">SUM(E13:E26)</f>
        <v>68207432.170668423</v>
      </c>
      <c r="F27" s="518"/>
      <c r="G27" s="739">
        <f ca="1">SUM(G13:G26)</f>
        <v>130958269.76768339</v>
      </c>
      <c r="H27" s="757">
        <f>SUM(H13:H26)</f>
        <v>130958269.76768339</v>
      </c>
      <c r="I27" s="348"/>
      <c r="J27" s="521"/>
    </row>
    <row r="28" spans="2:10" ht="13" thickTop="1" x14ac:dyDescent="0.25"/>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19" workbookViewId="0">
      <selection activeCell="J28" sqref="J28"/>
    </sheetView>
  </sheetViews>
  <sheetFormatPr defaultColWidth="9.1796875" defaultRowHeight="12.5" x14ac:dyDescent="0.25"/>
  <cols>
    <col min="1" max="1" width="7.54296875" style="29" customWidth="1"/>
    <col min="2" max="2" width="72.26953125" style="29" customWidth="1"/>
    <col min="3" max="3" width="15.81640625" style="29" customWidth="1"/>
    <col min="4" max="4" width="19.453125" style="29" customWidth="1"/>
    <col min="5" max="5" width="12.1796875" style="29" customWidth="1"/>
    <col min="6" max="6" width="15.81640625" style="29" customWidth="1"/>
    <col min="7" max="7" width="14.7265625" style="29" customWidth="1"/>
    <col min="8" max="8" width="17" style="29" customWidth="1"/>
    <col min="9" max="9" width="17.26953125" style="29" customWidth="1"/>
    <col min="10" max="10" width="23.453125" style="29" customWidth="1"/>
    <col min="11" max="11" width="16.1796875" style="29" customWidth="1"/>
    <col min="12" max="12" width="11.54296875" style="29" bestFit="1" customWidth="1"/>
    <col min="13" max="13" width="12.7265625" style="29" bestFit="1" customWidth="1"/>
    <col min="14" max="14" width="11.54296875" style="29" bestFit="1" customWidth="1"/>
    <col min="15" max="16384" width="9.1796875" style="29"/>
  </cols>
  <sheetData>
    <row r="1" spans="1:10" x14ac:dyDescent="0.25">
      <c r="A1" s="1294" t="s">
        <v>1288</v>
      </c>
    </row>
    <row r="2" spans="1:10" ht="22" x14ac:dyDescent="0.25">
      <c r="B2" s="819" t="s">
        <v>400</v>
      </c>
    </row>
    <row r="4" spans="1:10" ht="14" x14ac:dyDescent="0.25">
      <c r="B4" s="1600" t="s">
        <v>390</v>
      </c>
      <c r="C4" s="1600"/>
      <c r="D4" s="1600"/>
      <c r="E4" s="1600"/>
      <c r="F4" s="1600"/>
      <c r="G4" s="1600"/>
      <c r="H4" s="1600"/>
      <c r="I4" s="1600"/>
      <c r="J4" s="1600"/>
    </row>
    <row r="5" spans="1:10" ht="67.5" customHeight="1" x14ac:dyDescent="0.25">
      <c r="B5" s="1601" t="s">
        <v>410</v>
      </c>
      <c r="C5" s="1602"/>
      <c r="D5" s="1602"/>
      <c r="E5" s="1602"/>
      <c r="F5" s="1602"/>
      <c r="G5" s="1602"/>
      <c r="H5" s="1602"/>
      <c r="I5" s="1602"/>
      <c r="J5" s="1602"/>
    </row>
    <row r="6" spans="1:10" x14ac:dyDescent="0.25">
      <c r="B6" s="773"/>
      <c r="C6" s="773"/>
      <c r="D6" s="773"/>
      <c r="E6" s="773"/>
      <c r="F6" s="773"/>
      <c r="G6" s="773"/>
      <c r="H6" s="773"/>
      <c r="I6" s="773"/>
      <c r="J6" s="773"/>
    </row>
    <row r="7" spans="1:10" ht="22" x14ac:dyDescent="0.25">
      <c r="B7" s="820" t="s">
        <v>1067</v>
      </c>
      <c r="C7" s="773"/>
      <c r="D7" s="773"/>
      <c r="E7" s="773"/>
      <c r="F7" s="773"/>
      <c r="G7" s="773"/>
      <c r="H7" s="773"/>
      <c r="I7" s="773"/>
      <c r="J7" s="773"/>
    </row>
    <row r="8" spans="1:10" ht="15.5" x14ac:dyDescent="0.25">
      <c r="B8" s="821" t="s">
        <v>233</v>
      </c>
      <c r="C8" s="773"/>
      <c r="D8" s="773"/>
      <c r="E8" s="773"/>
      <c r="F8" s="773"/>
      <c r="G8" s="773"/>
      <c r="H8" s="773"/>
      <c r="I8" s="773"/>
      <c r="J8" s="773"/>
    </row>
    <row r="9" spans="1:10" x14ac:dyDescent="0.25">
      <c r="B9" s="773"/>
      <c r="C9" s="773"/>
      <c r="D9" s="773"/>
      <c r="E9" s="773"/>
      <c r="F9" s="773"/>
      <c r="G9" s="773"/>
      <c r="H9" s="773"/>
      <c r="I9" s="773"/>
      <c r="J9" s="773"/>
    </row>
    <row r="10" spans="1:10" x14ac:dyDescent="0.25">
      <c r="B10" s="773"/>
      <c r="C10" s="773"/>
      <c r="D10" s="773"/>
      <c r="E10" s="773"/>
      <c r="F10" s="773"/>
      <c r="G10" s="773"/>
      <c r="H10" s="773"/>
      <c r="I10" s="773"/>
      <c r="J10" s="773"/>
    </row>
    <row r="11" spans="1:10" ht="15.5" x14ac:dyDescent="0.25">
      <c r="B11" s="821" t="s">
        <v>234</v>
      </c>
      <c r="C11" s="773"/>
      <c r="D11" s="773"/>
      <c r="E11" s="773"/>
      <c r="F11" s="773"/>
      <c r="G11" s="773"/>
      <c r="H11" s="773"/>
      <c r="I11" s="773"/>
      <c r="J11" s="773"/>
    </row>
    <row r="12" spans="1:10" x14ac:dyDescent="0.25">
      <c r="B12" s="773"/>
      <c r="C12" s="773"/>
      <c r="D12" s="773"/>
      <c r="E12" s="773"/>
      <c r="F12" s="773"/>
      <c r="G12" s="773"/>
      <c r="H12" s="773"/>
      <c r="I12" s="773"/>
      <c r="J12" s="773"/>
    </row>
    <row r="13" spans="1:10" x14ac:dyDescent="0.25">
      <c r="B13" s="773"/>
      <c r="C13" s="773"/>
      <c r="D13" s="773"/>
      <c r="E13" s="773"/>
      <c r="F13" s="773"/>
      <c r="G13" s="773"/>
      <c r="H13" s="773"/>
      <c r="I13" s="773"/>
      <c r="J13" s="773"/>
    </row>
    <row r="14" spans="1:10" x14ac:dyDescent="0.25">
      <c r="B14" s="773"/>
      <c r="C14" s="773"/>
      <c r="D14" s="773"/>
      <c r="E14" s="773"/>
      <c r="F14" s="773"/>
      <c r="G14" s="773"/>
      <c r="H14" s="773"/>
      <c r="I14" s="773"/>
      <c r="J14" s="773"/>
    </row>
    <row r="15" spans="1:10" ht="14" x14ac:dyDescent="0.25">
      <c r="B15" s="823" t="s">
        <v>412</v>
      </c>
      <c r="C15" s="773"/>
      <c r="D15" s="773"/>
      <c r="E15" s="773"/>
      <c r="F15" s="773"/>
      <c r="G15" s="773"/>
      <c r="H15" s="773"/>
      <c r="I15" s="773"/>
      <c r="J15" s="773"/>
    </row>
    <row r="16" spans="1:10" ht="14" x14ac:dyDescent="0.25">
      <c r="B16" s="823" t="s">
        <v>425</v>
      </c>
      <c r="C16" s="773"/>
      <c r="D16" s="773"/>
      <c r="E16" s="773"/>
      <c r="F16" s="773"/>
      <c r="G16" s="773"/>
      <c r="H16" s="773"/>
      <c r="I16" s="773"/>
      <c r="J16" s="773"/>
    </row>
    <row r="17" spans="2:14" ht="14" x14ac:dyDescent="0.25">
      <c r="B17" s="823" t="s">
        <v>433</v>
      </c>
      <c r="C17" s="773"/>
      <c r="D17" s="773"/>
      <c r="E17" s="773"/>
      <c r="F17" s="773"/>
      <c r="G17" s="773"/>
      <c r="H17" s="773"/>
      <c r="I17" s="773"/>
      <c r="J17" s="773"/>
    </row>
    <row r="18" spans="2:14" ht="15.5" x14ac:dyDescent="0.25">
      <c r="B18" s="822"/>
    </row>
    <row r="19" spans="2:14" ht="13" thickBot="1" x14ac:dyDescent="0.3"/>
    <row r="20" spans="2:14" ht="44.25" customHeight="1" thickTop="1" x14ac:dyDescent="0.25">
      <c r="B20" s="1346" t="s">
        <v>411</v>
      </c>
      <c r="C20" s="1347"/>
      <c r="D20" s="1348"/>
      <c r="E20" s="1348"/>
      <c r="F20" s="1349"/>
      <c r="H20" s="1607" t="s">
        <v>819</v>
      </c>
      <c r="I20" s="1608"/>
      <c r="J20" s="1608"/>
      <c r="K20" s="1609"/>
    </row>
    <row r="21" spans="2:14" ht="39" customHeight="1" x14ac:dyDescent="0.25">
      <c r="B21" s="555" t="s">
        <v>955</v>
      </c>
      <c r="C21" s="560">
        <f ca="1">Feed_CO2_MTpY</f>
        <v>1155100</v>
      </c>
      <c r="D21" s="1610" t="s">
        <v>413</v>
      </c>
      <c r="E21" s="1610"/>
      <c r="F21" s="1611"/>
      <c r="H21" s="1590" t="s">
        <v>83</v>
      </c>
      <c r="I21" s="1591"/>
      <c r="J21" s="1350"/>
      <c r="K21" s="1351"/>
    </row>
    <row r="22" spans="2:14" ht="14.25" customHeight="1" x14ac:dyDescent="0.25">
      <c r="B22" s="555" t="s">
        <v>954</v>
      </c>
      <c r="C22" s="561">
        <f ca="1">Feed_CO2_kgpkgH2</f>
        <v>9.2683784333672445</v>
      </c>
      <c r="D22" s="557"/>
      <c r="E22" s="557"/>
      <c r="F22" s="558"/>
      <c r="H22" s="1592" t="s">
        <v>428</v>
      </c>
      <c r="I22" s="1593"/>
      <c r="J22" s="1371" t="e">
        <f ca="1">SUM(C54:C57)</f>
        <v>#VALUE!</v>
      </c>
      <c r="K22" s="1351"/>
    </row>
    <row r="23" spans="2:14" ht="14.25" customHeight="1" x14ac:dyDescent="0.25">
      <c r="B23" s="555" t="s">
        <v>429</v>
      </c>
      <c r="C23" s="1311">
        <f ca="1">Feed_CO2_MTpY/365*CO2_Capture_Efficiency</f>
        <v>0</v>
      </c>
      <c r="D23" s="557"/>
      <c r="E23" s="557"/>
      <c r="F23" s="558"/>
      <c r="H23" s="1592" t="s">
        <v>1233</v>
      </c>
      <c r="I23" s="1593"/>
      <c r="J23" s="1371">
        <f ca="1">C71</f>
        <v>80988.893635198634</v>
      </c>
      <c r="K23" s="1351"/>
      <c r="N23" s="1294"/>
    </row>
    <row r="24" spans="2:14" ht="14.25" customHeight="1" x14ac:dyDescent="0.25">
      <c r="B24" s="555" t="s">
        <v>1286</v>
      </c>
      <c r="C24" s="1305">
        <f ca="1">CO2_flowrate*365/1000000</f>
        <v>0</v>
      </c>
      <c r="D24" s="1307"/>
      <c r="E24" s="1307"/>
      <c r="F24" s="1297"/>
      <c r="H24" s="1592" t="s">
        <v>1236</v>
      </c>
      <c r="I24" s="1593"/>
      <c r="J24" s="1371">
        <f ca="1">SUM(C82:C83)</f>
        <v>0</v>
      </c>
      <c r="K24" s="1351"/>
      <c r="N24" s="1294"/>
    </row>
    <row r="25" spans="2:14" ht="14" x14ac:dyDescent="0.25">
      <c r="B25" s="593" t="s">
        <v>431</v>
      </c>
      <c r="C25" s="594">
        <f ca="1">HLOOKUP(startup_year,INDIRECT(TMP_PriceTable),MATCH("Industrial Electricity",INDIRECT(Energy_Feed_List),0),FALSE)*VLOOKUP("kWh",CC_feedconversion,2,FALSE)</f>
        <v>7.7596976084681746E-2</v>
      </c>
      <c r="D25" s="1612" t="s">
        <v>432</v>
      </c>
      <c r="E25" s="1612"/>
      <c r="F25" s="1613"/>
      <c r="H25" s="1616" t="s">
        <v>1238</v>
      </c>
      <c r="I25" s="1617"/>
      <c r="J25" s="1371">
        <f ca="1">SUM(C93:C95)</f>
        <v>39831626.153846137</v>
      </c>
      <c r="K25" s="1353"/>
      <c r="M25" s="1300"/>
    </row>
    <row r="26" spans="2:14" ht="14.5" thickBot="1" x14ac:dyDescent="0.3">
      <c r="B26" s="559" t="s">
        <v>999</v>
      </c>
      <c r="C26" s="562">
        <f ca="1">IF(C21=0,0,(pump_power)*cap_factor*24*365/output_kgyear)</f>
        <v>0</v>
      </c>
      <c r="D26" s="1603"/>
      <c r="E26" s="1603"/>
      <c r="F26" s="1604"/>
      <c r="H26" s="1614"/>
      <c r="I26" s="1615"/>
      <c r="J26" s="1374">
        <f>IF(CO2_Capture_Efficiency,SUM(J22:J25),0)</f>
        <v>0</v>
      </c>
      <c r="K26" s="1353" t="str">
        <f>"Total ("&amp;ref_year&amp;"$)"</f>
        <v>Total (2016$)</v>
      </c>
    </row>
    <row r="27" spans="2:14" ht="18.75" customHeight="1" thickTop="1" thickBot="1" x14ac:dyDescent="0.3">
      <c r="H27" s="1592" t="s">
        <v>1096</v>
      </c>
      <c r="I27" s="1593"/>
      <c r="J27" s="1371">
        <f ca="1">IFERROR(IF(CO2_inUse = "To Use Carbon Sequestration Click 'Link to Detail Sheet' in the Input Sheet Capital Cost Section",0,(J23+J24)/1.2+J25/1.5+J22),0)</f>
        <v>0</v>
      </c>
      <c r="K27" s="1351"/>
    </row>
    <row r="28" spans="2:14" ht="31.5" customHeight="1" thickTop="1" thickBot="1" x14ac:dyDescent="0.3">
      <c r="B28" s="1342" t="s">
        <v>412</v>
      </c>
      <c r="C28" s="1343"/>
      <c r="D28" s="1344"/>
      <c r="E28" s="1344"/>
      <c r="F28" s="1345"/>
      <c r="H28" s="1605"/>
      <c r="I28" s="1606"/>
      <c r="J28" s="1352"/>
      <c r="K28" s="1351"/>
    </row>
    <row r="29" spans="2:14" ht="14" x14ac:dyDescent="0.25">
      <c r="B29" s="1325" t="s">
        <v>1245</v>
      </c>
      <c r="C29" s="1323"/>
      <c r="D29" s="1324"/>
      <c r="E29" s="1324"/>
      <c r="F29" s="1326"/>
      <c r="H29" s="1354"/>
      <c r="I29" s="1355"/>
      <c r="J29" s="1352"/>
      <c r="K29" s="1351"/>
    </row>
    <row r="30" spans="2:14" ht="14" x14ac:dyDescent="0.25">
      <c r="B30" s="1327" t="s">
        <v>998</v>
      </c>
      <c r="C30" s="1378">
        <v>0</v>
      </c>
      <c r="D30" s="1312"/>
      <c r="E30" s="1582" t="s">
        <v>1287</v>
      </c>
      <c r="F30" s="1618"/>
      <c r="H30" s="1590" t="s">
        <v>817</v>
      </c>
      <c r="I30" s="1591"/>
      <c r="J30" s="1352"/>
      <c r="K30" s="1351"/>
    </row>
    <row r="31" spans="2:14" ht="27.65" customHeight="1" x14ac:dyDescent="0.25">
      <c r="B31" s="1327" t="s">
        <v>549</v>
      </c>
      <c r="C31" s="1340">
        <v>14.7</v>
      </c>
      <c r="D31" s="1312"/>
      <c r="E31" s="1624" t="s">
        <v>1242</v>
      </c>
      <c r="F31" s="1625"/>
      <c r="H31" s="1592" t="s">
        <v>426</v>
      </c>
      <c r="I31" s="1593"/>
      <c r="J31" s="1371">
        <f ca="1">C74</f>
        <v>0</v>
      </c>
      <c r="K31" s="1351"/>
    </row>
    <row r="32" spans="2:14" ht="28" x14ac:dyDescent="0.25">
      <c r="B32" s="1327" t="s">
        <v>1217</v>
      </c>
      <c r="C32" s="1313">
        <v>1</v>
      </c>
      <c r="D32" s="1312"/>
      <c r="E32" s="1582"/>
      <c r="F32" s="1583"/>
      <c r="H32" s="1372" t="s">
        <v>427</v>
      </c>
      <c r="I32" s="1373"/>
      <c r="J32" s="1371">
        <v>0</v>
      </c>
      <c r="K32" s="1351"/>
    </row>
    <row r="33" spans="2:11" ht="14" x14ac:dyDescent="0.25">
      <c r="B33" s="1327" t="s">
        <v>1216</v>
      </c>
      <c r="C33" s="1314">
        <v>0.75</v>
      </c>
      <c r="D33" s="1312"/>
      <c r="E33" s="1582"/>
      <c r="F33" s="1583"/>
      <c r="H33" s="1592" t="s">
        <v>428</v>
      </c>
      <c r="I33" s="1593"/>
      <c r="J33" s="1371">
        <v>0</v>
      </c>
      <c r="K33" s="1351"/>
    </row>
    <row r="34" spans="2:11" ht="14" x14ac:dyDescent="0.25">
      <c r="B34" s="1327" t="s">
        <v>1208</v>
      </c>
      <c r="C34" s="1315" t="s">
        <v>23</v>
      </c>
      <c r="D34" s="1312"/>
      <c r="E34" s="1582"/>
      <c r="F34" s="1583"/>
      <c r="H34" s="1605"/>
      <c r="I34" s="1606"/>
      <c r="J34" s="1374">
        <f ca="1">SUM(J31:J33)</f>
        <v>0</v>
      </c>
      <c r="K34" s="1353" t="str">
        <f>"Total ("&amp;ref_year&amp;"$)"</f>
        <v>Total (2016$)</v>
      </c>
    </row>
    <row r="35" spans="2:11" ht="14" x14ac:dyDescent="0.25">
      <c r="B35" s="1327" t="s">
        <v>1210</v>
      </c>
      <c r="C35" s="1315" t="s">
        <v>23</v>
      </c>
      <c r="D35" s="1312"/>
      <c r="E35" s="1582"/>
      <c r="F35" s="1583"/>
      <c r="H35" s="1590" t="s">
        <v>818</v>
      </c>
      <c r="I35" s="1591"/>
      <c r="J35" s="1352"/>
      <c r="K35" s="1351"/>
    </row>
    <row r="36" spans="2:11" ht="14" x14ac:dyDescent="0.25">
      <c r="B36" s="1327" t="s">
        <v>1243</v>
      </c>
      <c r="C36" s="1313">
        <v>100</v>
      </c>
      <c r="D36" s="1312"/>
      <c r="E36" s="1582"/>
      <c r="F36" s="1583"/>
      <c r="H36" s="1592" t="s">
        <v>963</v>
      </c>
      <c r="I36" s="1593"/>
      <c r="J36" s="1371">
        <f ca="1">-Feed_CO2_MTpY*CO2_Capture_Efficiency*CO2_credit</f>
        <v>0</v>
      </c>
      <c r="K36" s="1351"/>
    </row>
    <row r="37" spans="2:11" ht="14" x14ac:dyDescent="0.25">
      <c r="B37" s="1327" t="s">
        <v>1244</v>
      </c>
      <c r="C37" s="1313">
        <v>0</v>
      </c>
      <c r="D37" s="1312"/>
      <c r="E37" s="1582"/>
      <c r="F37" s="1583"/>
      <c r="H37" s="1592" t="s">
        <v>428</v>
      </c>
      <c r="I37" s="1593"/>
      <c r="J37" s="1371">
        <f>+C61</f>
        <v>693420.37890424987</v>
      </c>
      <c r="K37" s="1351"/>
    </row>
    <row r="38" spans="2:11" ht="14.5" thickBot="1" x14ac:dyDescent="0.3">
      <c r="B38" s="1328" t="s">
        <v>1251</v>
      </c>
      <c r="C38" s="1319" t="e">
        <f ca="1">Pipe_Diameter(CO2_PipeLength,
        C67, C66,
        C37,
        0.5,
        CO2_flowrate,
        CO2_Pipeline_Temp,
        n_CO2_pumps)</f>
        <v>#VALUE!</v>
      </c>
      <c r="D38" s="1320"/>
      <c r="E38" s="1622"/>
      <c r="F38" s="1623"/>
      <c r="H38" s="1592" t="s">
        <v>1233</v>
      </c>
      <c r="I38" s="1593"/>
      <c r="J38" s="1371">
        <f ca="1">C78</f>
        <v>3239.5557454079453</v>
      </c>
      <c r="K38" s="1351"/>
    </row>
    <row r="39" spans="2:11" ht="14" x14ac:dyDescent="0.25">
      <c r="B39" s="1619" t="s">
        <v>1246</v>
      </c>
      <c r="C39" s="1620"/>
      <c r="D39" s="1620"/>
      <c r="E39" s="1620"/>
      <c r="F39" s="1621"/>
      <c r="H39" s="1592" t="s">
        <v>1236</v>
      </c>
      <c r="I39" s="1593"/>
      <c r="J39" s="1371">
        <f ca="1">C86</f>
        <v>0</v>
      </c>
      <c r="K39" s="1351"/>
    </row>
    <row r="40" spans="2:11" ht="14" x14ac:dyDescent="0.25">
      <c r="B40" s="1327" t="s">
        <v>1222</v>
      </c>
      <c r="C40" s="1313">
        <v>53</v>
      </c>
      <c r="D40" s="1312"/>
      <c r="E40" s="1582" t="s">
        <v>1250</v>
      </c>
      <c r="F40" s="1583"/>
      <c r="H40" s="1616" t="s">
        <v>1237</v>
      </c>
      <c r="I40" s="1617"/>
      <c r="J40" s="1375">
        <f ca="1">SUM(C103:C107)</f>
        <v>2016053.2255769228</v>
      </c>
      <c r="K40" s="1351"/>
    </row>
    <row r="41" spans="2:11" ht="35.5" customHeight="1" thickBot="1" x14ac:dyDescent="0.3">
      <c r="B41" s="1328" t="s">
        <v>1223</v>
      </c>
      <c r="C41" s="1321">
        <f>denPRCO2(0.00005,AVERAGE(C66:C67)/MPa_to_psi,CO2_Pipeline_Temp)</f>
        <v>865.79471045444359</v>
      </c>
      <c r="D41" s="1320"/>
      <c r="E41" s="1596" t="s">
        <v>1224</v>
      </c>
      <c r="F41" s="1597"/>
      <c r="H41" s="1590"/>
      <c r="I41" s="1591"/>
      <c r="J41" s="1374">
        <f>IF(CO2_Capture_Efficiency&gt;0,SUM(J36:J40),0)</f>
        <v>0</v>
      </c>
      <c r="K41" s="1353" t="str">
        <f>"Total  ("&amp;ref_year&amp;"$)"</f>
        <v>Total  (2016$)</v>
      </c>
    </row>
    <row r="42" spans="2:11" ht="14" x14ac:dyDescent="0.25">
      <c r="B42" s="1619" t="s">
        <v>1247</v>
      </c>
      <c r="C42" s="1620"/>
      <c r="D42" s="1620"/>
      <c r="E42" s="1620"/>
      <c r="F42" s="1621"/>
      <c r="H42" s="1354"/>
      <c r="I42" s="1355"/>
      <c r="J42" s="1352"/>
      <c r="K42" s="1351"/>
    </row>
    <row r="43" spans="2:11" ht="14.5" customHeight="1" x14ac:dyDescent="0.25">
      <c r="B43" s="1327" t="s">
        <v>961</v>
      </c>
      <c r="C43" s="1316">
        <v>0</v>
      </c>
      <c r="D43" s="1312"/>
      <c r="E43" s="1318"/>
      <c r="F43" s="1329"/>
      <c r="H43" s="1592" t="s">
        <v>826</v>
      </c>
      <c r="I43" s="1593"/>
      <c r="J43" s="1374">
        <f>Det_CO2_seq*tax_ins_rate</f>
        <v>0</v>
      </c>
      <c r="K43" s="1353" t="str">
        <f>+K41</f>
        <v>Total  (2016$)</v>
      </c>
    </row>
    <row r="44" spans="2:11" ht="15" customHeight="1" thickBot="1" x14ac:dyDescent="0.3">
      <c r="B44" s="1328" t="s">
        <v>1211</v>
      </c>
      <c r="C44" s="1322">
        <v>0.04</v>
      </c>
      <c r="D44" s="1320"/>
      <c r="E44" s="1598"/>
      <c r="F44" s="1599"/>
      <c r="H44" s="1356"/>
      <c r="I44" s="1357"/>
      <c r="J44" s="1358"/>
      <c r="K44" s="1359"/>
    </row>
    <row r="45" spans="2:11" ht="15" customHeight="1" x14ac:dyDescent="0.25">
      <c r="B45" s="1619" t="s">
        <v>1248</v>
      </c>
      <c r="C45" s="1620"/>
      <c r="D45" s="1620"/>
      <c r="E45" s="1620"/>
      <c r="F45" s="1621"/>
      <c r="H45" s="1586" t="s">
        <v>1239</v>
      </c>
      <c r="I45" s="1587"/>
      <c r="J45" s="1587"/>
      <c r="K45" s="1376" t="e">
        <f ca="1">ROUND(CO2_eCostpY/(Feed_CO2_MTpY*CO2_Capture_Efficiency),1)</f>
        <v>#DIV/0!</v>
      </c>
    </row>
    <row r="46" spans="2:11" ht="15" customHeight="1" x14ac:dyDescent="0.25">
      <c r="B46" s="1327" t="s">
        <v>66</v>
      </c>
      <c r="C46" s="1317">
        <f ca="1">(real_irr*(1+real_irr)^anal_period)/(((real_irr+1)^anal_period)-1)</f>
        <v>8.3860161500585326E-2</v>
      </c>
      <c r="D46" s="1312"/>
      <c r="E46" s="1582"/>
      <c r="F46" s="1583"/>
      <c r="H46" s="1592" t="s">
        <v>1240</v>
      </c>
      <c r="I46" s="1593"/>
      <c r="J46" s="1593"/>
      <c r="K46" s="1377" t="e">
        <f ca="1">ROUND((Det_CO2_OandMcost+ CCS_tax_insurance)/(Feed_CO2_MTpY*CO2_Capture_Efficiency),1)</f>
        <v>#DIV/0!</v>
      </c>
    </row>
    <row r="47" spans="2:11" ht="15" customHeight="1" thickBot="1" x14ac:dyDescent="0.3">
      <c r="B47" s="1327" t="s">
        <v>0</v>
      </c>
      <c r="C47" s="1317">
        <f ca="1">INDEX(MACRS_Table,MATCH("NPV - Real IRR",recovery_year,0),MATCH(depr_length,recovery_period,0))*(1+real_irr)</f>
        <v>0.54674112188719604</v>
      </c>
      <c r="D47" s="1312"/>
      <c r="E47" s="1582"/>
      <c r="F47" s="1583"/>
      <c r="H47" s="1594" t="s">
        <v>1241</v>
      </c>
      <c r="I47" s="1595"/>
      <c r="J47" s="1595"/>
      <c r="K47" s="1380" t="e">
        <f ca="1">ROUND((Det_CO2_seq+(-PV(nominal_irr,plant_life,C100)*(1+nominal_irr)))*CO2_cap_charge_rate/(Feed_CO2_MTpY*CO2_Capture_Efficiency),1)</f>
        <v>#DIV/0!</v>
      </c>
    </row>
    <row r="48" spans="2:11" ht="15" customHeight="1" thickTop="1" thickBot="1" x14ac:dyDescent="0.3">
      <c r="B48" s="1330" t="s">
        <v>1</v>
      </c>
      <c r="C48" s="1341">
        <f ca="1">(CO2_cap_rec*(1-total_tax_rate*CO2_depr_factor))/(1-total_tax_rate)</f>
        <v>9.7035312812405017E-2</v>
      </c>
      <c r="D48" s="1331"/>
      <c r="E48" s="1588"/>
      <c r="F48" s="1589"/>
      <c r="H48" s="1584" t="s">
        <v>1289</v>
      </c>
      <c r="I48" s="1585"/>
      <c r="J48" s="1585"/>
      <c r="K48" s="1379" t="e">
        <f ca="1">SUM(K45:K47)</f>
        <v>#DIV/0!</v>
      </c>
    </row>
    <row r="49" spans="2:11" ht="13.5" thickTop="1" thickBot="1" x14ac:dyDescent="0.3"/>
    <row r="50" spans="2:11" ht="18.5" thickTop="1" x14ac:dyDescent="0.25">
      <c r="B50" s="554" t="s">
        <v>1221</v>
      </c>
      <c r="C50" s="563"/>
      <c r="D50" s="563"/>
      <c r="E50" s="563"/>
      <c r="F50" s="563"/>
      <c r="G50" s="563"/>
      <c r="H50" s="563"/>
      <c r="I50" s="563"/>
      <c r="J50" s="563"/>
      <c r="K50" s="564"/>
    </row>
    <row r="51" spans="2:11" ht="13.9" customHeight="1" x14ac:dyDescent="0.25">
      <c r="B51" s="32" t="str">
        <f>"CO2 Pipeline Costs ("&amp;ref_year&amp;" USD)"</f>
        <v>CO2 Pipeline Costs (2016 USD)</v>
      </c>
      <c r="C51" s="1286"/>
      <c r="D51" s="1336" t="s">
        <v>1049</v>
      </c>
      <c r="E51" s="1332" t="s">
        <v>1249</v>
      </c>
      <c r="F51" s="1286"/>
      <c r="G51" s="1286"/>
      <c r="H51" s="1286"/>
      <c r="I51" s="1286"/>
      <c r="J51" s="1286"/>
      <c r="K51" s="565"/>
    </row>
    <row r="52" spans="2:11" ht="12.65" customHeight="1" x14ac:dyDescent="0.25">
      <c r="B52" s="1290" t="s">
        <v>1235</v>
      </c>
      <c r="C52" s="1286"/>
      <c r="D52" s="1286"/>
      <c r="E52" s="1286"/>
      <c r="F52" s="1286"/>
      <c r="G52" s="1286"/>
      <c r="H52" s="1286"/>
      <c r="I52" s="1286"/>
      <c r="J52" s="1286"/>
      <c r="K52" s="565"/>
    </row>
    <row r="53" spans="2:11" ht="12.65" customHeight="1" x14ac:dyDescent="0.4">
      <c r="B53" s="1360" t="s">
        <v>1207</v>
      </c>
      <c r="C53" s="1361" t="e">
        <f ca="1">IF(CO2_PipeDia&gt;20,1.25, IF(CO2_PipeDia&gt;16,1.18,IF(CO2_PipeDia&gt;12,1.12,1)))</f>
        <v>#VALUE!</v>
      </c>
      <c r="D53" s="1362"/>
      <c r="E53" s="1338" t="s">
        <v>1272</v>
      </c>
      <c r="F53" s="1286"/>
      <c r="G53" s="1286"/>
      <c r="H53" s="1286"/>
      <c r="I53" s="1286"/>
      <c r="J53" s="1286"/>
      <c r="K53" s="565"/>
    </row>
    <row r="54" spans="2:11" ht="12.65" customHeight="1" x14ac:dyDescent="0.4">
      <c r="B54" s="1360" t="s">
        <v>1258</v>
      </c>
      <c r="C54" s="1363" t="e">
        <f ca="1">(35000+CO2_PipeLength*(330.5*CO2_PipeDia^2+687*CO2_PipeDia+26960))*NG_to_CO2Pipeline*VLOOKUP(ref_year,Tbl_PlantCostIndexes,2)/VLOOKUP(2000,Tbl_PlantCostIndexes,2)</f>
        <v>#VALUE!</v>
      </c>
      <c r="D54" s="1364" t="str">
        <f>ref_year&amp;"$"</f>
        <v>2016$</v>
      </c>
      <c r="E54" s="1338" t="s">
        <v>1278</v>
      </c>
      <c r="F54" s="1286"/>
      <c r="G54" s="1286"/>
      <c r="H54" s="1286"/>
      <c r="I54" s="1286"/>
      <c r="J54" s="1286"/>
      <c r="K54" s="565"/>
    </row>
    <row r="55" spans="2:11" ht="12.65" customHeight="1" x14ac:dyDescent="0.4">
      <c r="B55" s="1360" t="s">
        <v>1268</v>
      </c>
      <c r="C55" s="1363" t="e">
        <f ca="1">(185000+CO2_PipeLength*(343*CO2_PipeDia^2+2074*CO2_PipeDia+170013))*NG_to_CO2Pipeline*VLOOKUP(ref_year,Tbl_labor_indexes,2)/VLOOKUP(2000,Tbl_labor_indexes,2)</f>
        <v>#VALUE!</v>
      </c>
      <c r="D55" s="1364" t="str">
        <f>ref_year&amp;"$"</f>
        <v>2016$</v>
      </c>
      <c r="E55" s="1338" t="s">
        <v>1279</v>
      </c>
      <c r="F55" s="1286"/>
      <c r="G55" s="1286"/>
      <c r="H55" s="1286"/>
      <c r="I55" s="1286"/>
      <c r="J55" s="1286"/>
      <c r="K55" s="565"/>
    </row>
    <row r="56" spans="2:11" ht="12.65" customHeight="1" x14ac:dyDescent="0.4">
      <c r="B56" s="1360" t="s">
        <v>1267</v>
      </c>
      <c r="C56" s="1363" t="e">
        <f ca="1">(40000+CO2_PipeLength*(0*CO2_PipeDia^2+577*CO2_PipeDia+29788))*NG_to_CO2Pipeline*(VLOOKUP(ref_year,DeflatorTable,2)/VLOOKUP(2000,DeflatorTable,2))</f>
        <v>#VALUE!</v>
      </c>
      <c r="D56" s="1364" t="str">
        <f>ref_year&amp;"$"</f>
        <v>2016$</v>
      </c>
      <c r="E56" s="1338" t="s">
        <v>1280</v>
      </c>
      <c r="F56" s="1286"/>
      <c r="G56" s="1286"/>
      <c r="H56" s="1286"/>
      <c r="I56" s="1286"/>
      <c r="J56" s="1286"/>
      <c r="K56" s="565"/>
    </row>
    <row r="57" spans="2:11" ht="12.65" customHeight="1" x14ac:dyDescent="0.4">
      <c r="B57" s="1360" t="s">
        <v>1266</v>
      </c>
      <c r="C57" s="1363" t="e">
        <f ca="1">(95000+CO2_PipeLength*(0*CO2_PipeDia^2+8417*CO2_PipeDia+7324))*NG_to_CO2Pipeline*VLOOKUP(ref_year,DeflatorTable,2)/VLOOKUP(2000,DeflatorTable,2)</f>
        <v>#VALUE!</v>
      </c>
      <c r="D57" s="1364" t="str">
        <f>ref_year&amp;"$"</f>
        <v>2016$</v>
      </c>
      <c r="E57" s="1338" t="s">
        <v>1281</v>
      </c>
      <c r="F57" s="1286"/>
      <c r="G57" s="1286"/>
      <c r="H57" s="1286"/>
      <c r="I57" s="1286"/>
      <c r="J57" s="1286"/>
      <c r="K57" s="565"/>
    </row>
    <row r="58" spans="2:11" ht="12.65" customHeight="1" x14ac:dyDescent="0.25">
      <c r="B58" s="1360" t="s">
        <v>1269</v>
      </c>
      <c r="C58" s="1363" t="e">
        <f ca="1">SUM(C54:C57)/CO2_PipeLength</f>
        <v>#VALUE!</v>
      </c>
      <c r="D58" s="1364" t="str">
        <f>ref_year&amp;"$/mile"</f>
        <v>2016$/mile</v>
      </c>
      <c r="E58" s="1292"/>
      <c r="F58" s="1310"/>
      <c r="G58" s="1310"/>
      <c r="H58" s="1310"/>
      <c r="I58" s="1310"/>
      <c r="J58" s="1310"/>
      <c r="K58" s="565"/>
    </row>
    <row r="59" spans="2:11" ht="12.65" customHeight="1" x14ac:dyDescent="0.25">
      <c r="B59" s="1288"/>
      <c r="C59" s="1302"/>
      <c r="D59" s="1286"/>
      <c r="E59" s="1292"/>
      <c r="F59" s="1286"/>
      <c r="G59" s="1286"/>
      <c r="H59" s="1286"/>
      <c r="I59" s="1286"/>
      <c r="J59" s="1286"/>
      <c r="K59" s="565"/>
    </row>
    <row r="60" spans="2:11" ht="12.65" customHeight="1" x14ac:dyDescent="0.25">
      <c r="B60" s="1290" t="s">
        <v>416</v>
      </c>
      <c r="C60" s="1302"/>
      <c r="D60" s="1286"/>
      <c r="E60" s="1292"/>
      <c r="F60" s="1286"/>
      <c r="G60" s="1286"/>
      <c r="H60" s="1286"/>
      <c r="I60" s="1286"/>
      <c r="J60" s="1286"/>
      <c r="K60" s="565"/>
    </row>
    <row r="61" spans="2:11" ht="12.65" customHeight="1" x14ac:dyDescent="0.25">
      <c r="B61" s="1360" t="s">
        <v>1265</v>
      </c>
      <c r="C61" s="1363">
        <f>5000*CO2_PipeLength*(VLOOKUP(ref_year,Tbl_PlantCostIndexes,2)/VLOOKUP(1999,Tbl_PlantCostIndexes,2))</f>
        <v>693420.37890424987</v>
      </c>
      <c r="D61" s="1364" t="str">
        <f>ref_year&amp;"$/year"</f>
        <v>2016$/year</v>
      </c>
      <c r="E61" s="1293" t="s">
        <v>1282</v>
      </c>
      <c r="F61" s="1286"/>
      <c r="G61" s="1286"/>
      <c r="H61" s="1286"/>
      <c r="I61" s="1286"/>
      <c r="J61" s="1286"/>
      <c r="K61" s="565"/>
    </row>
    <row r="62" spans="2:11" ht="12.65" customHeight="1" x14ac:dyDescent="0.25">
      <c r="B62" s="1288"/>
      <c r="C62" s="1286"/>
      <c r="D62" s="1286"/>
      <c r="E62" s="1292"/>
      <c r="F62" s="1286"/>
      <c r="G62" s="1286"/>
      <c r="H62" s="1286"/>
      <c r="I62" s="1286"/>
      <c r="J62" s="1286"/>
      <c r="K62" s="565"/>
    </row>
    <row r="63" spans="2:11" ht="12.65" customHeight="1" x14ac:dyDescent="0.25">
      <c r="B63" s="1288"/>
      <c r="C63" s="1286"/>
      <c r="D63" s="1286"/>
      <c r="E63" s="1292"/>
      <c r="F63" s="1286"/>
      <c r="G63" s="1286"/>
      <c r="H63" s="1286"/>
      <c r="I63" s="1286"/>
      <c r="J63" s="1286"/>
      <c r="K63" s="565"/>
    </row>
    <row r="64" spans="2:11" ht="13.9" customHeight="1" x14ac:dyDescent="0.25">
      <c r="B64" s="32" t="s">
        <v>1206</v>
      </c>
      <c r="C64" s="1286"/>
      <c r="D64" s="1286"/>
      <c r="E64" s="1292"/>
      <c r="F64" s="1286"/>
      <c r="G64" s="1286"/>
      <c r="H64" s="1286"/>
      <c r="I64" s="1286"/>
      <c r="J64" s="1286"/>
      <c r="K64" s="565"/>
    </row>
    <row r="65" spans="2:11" ht="12.65" customHeight="1" x14ac:dyDescent="0.25">
      <c r="B65" s="1290" t="s">
        <v>83</v>
      </c>
      <c r="C65" s="1286"/>
      <c r="D65" s="1286"/>
      <c r="E65" s="1292"/>
      <c r="F65" s="1286"/>
      <c r="G65" s="1286"/>
      <c r="H65" s="1286"/>
      <c r="I65" s="1286"/>
      <c r="J65" s="1286"/>
      <c r="K65" s="565"/>
    </row>
    <row r="66" spans="2:11" ht="12.65" customHeight="1" x14ac:dyDescent="0.25">
      <c r="B66" s="1360" t="s">
        <v>1212</v>
      </c>
      <c r="C66" s="1365">
        <f>CO2_Pin_psia</f>
        <v>14.7</v>
      </c>
      <c r="D66" s="1364" t="s">
        <v>1214</v>
      </c>
      <c r="E66" s="1292"/>
      <c r="F66" s="1286"/>
      <c r="G66" s="1286"/>
      <c r="H66" s="1286"/>
      <c r="I66" s="1286"/>
      <c r="J66" s="1286"/>
      <c r="K66" s="565"/>
    </row>
    <row r="67" spans="2:11" ht="12.65" customHeight="1" x14ac:dyDescent="0.25">
      <c r="B67" s="1360" t="s">
        <v>1213</v>
      </c>
      <c r="C67" s="1365">
        <f>15*MPa_to_psi</f>
        <v>2175.5700000000002</v>
      </c>
      <c r="D67" s="1364" t="s">
        <v>1214</v>
      </c>
      <c r="E67" s="1292"/>
      <c r="F67" s="1286"/>
      <c r="G67" s="1286"/>
      <c r="H67" s="1286"/>
      <c r="I67" s="1286"/>
      <c r="J67" s="1286"/>
      <c r="K67" s="565"/>
    </row>
    <row r="68" spans="2:11" ht="15.5" x14ac:dyDescent="0.25">
      <c r="B68" s="1360" t="s">
        <v>1215</v>
      </c>
      <c r="C68" s="1365">
        <f ca="1">(1000*1000000*0.001/ (24*3600))*(CO2_flowrate/cap_factor*(C67-C66)/MPa_to_psi)/(C41*Pump_Eff)</f>
        <v>0</v>
      </c>
      <c r="D68" s="1366" t="s">
        <v>414</v>
      </c>
      <c r="E68" s="1293" t="s">
        <v>1275</v>
      </c>
      <c r="F68" s="1286"/>
      <c r="G68" s="1286"/>
      <c r="H68" s="1286"/>
      <c r="I68" s="1286"/>
      <c r="J68" s="1286"/>
      <c r="K68" s="565"/>
    </row>
    <row r="69" spans="2:11" ht="12.65" customHeight="1" x14ac:dyDescent="0.25">
      <c r="B69" s="1360" t="s">
        <v>1261</v>
      </c>
      <c r="C69" s="1363">
        <f>70000*VLOOKUP(ref_year,Tbl_PlantCostIndexes,2)/VLOOKUP(2005,Tbl_PlantCostIndexes,2)</f>
        <v>80988.893635198634</v>
      </c>
      <c r="D69" s="1364" t="str">
        <f>ref_year&amp;"$"</f>
        <v>2016$</v>
      </c>
      <c r="E69" s="1293" t="s">
        <v>1276</v>
      </c>
      <c r="F69" s="1286"/>
      <c r="G69" s="1286"/>
      <c r="H69" s="1286"/>
      <c r="I69" s="1286"/>
      <c r="J69" s="1286"/>
      <c r="K69" s="565"/>
    </row>
    <row r="70" spans="2:11" ht="12.65" customHeight="1" x14ac:dyDescent="0.25">
      <c r="B70" s="1360" t="s">
        <v>1262</v>
      </c>
      <c r="C70" s="1363">
        <f ca="1">1110*C68*VLOOKUP(ref_year,Tbl_PlantCostIndexes,2)/VLOOKUP(2005,Tbl_PlantCostIndexes,2)</f>
        <v>0</v>
      </c>
      <c r="D70" s="1364" t="str">
        <f>ref_year&amp;"$"</f>
        <v>2016$</v>
      </c>
      <c r="E70" s="1293" t="s">
        <v>1274</v>
      </c>
      <c r="F70" s="1286"/>
      <c r="G70" s="1286"/>
      <c r="H70" s="1286"/>
      <c r="I70" s="1286"/>
      <c r="J70" s="1286"/>
      <c r="K70" s="565"/>
    </row>
    <row r="71" spans="2:11" ht="12.65" customHeight="1" x14ac:dyDescent="0.4">
      <c r="B71" s="1360" t="s">
        <v>1271</v>
      </c>
      <c r="C71" s="1363">
        <f ca="1">SUM(C69:C70)</f>
        <v>80988.893635198634</v>
      </c>
      <c r="D71" s="1364" t="str">
        <f>ref_year&amp;"$"</f>
        <v>2016$</v>
      </c>
      <c r="E71" s="1339" t="s">
        <v>1273</v>
      </c>
      <c r="F71" s="1310"/>
      <c r="G71" s="1310"/>
      <c r="H71" s="1310"/>
      <c r="I71" s="1310"/>
      <c r="J71" s="1310"/>
      <c r="K71" s="565"/>
    </row>
    <row r="72" spans="2:11" ht="12.65" customHeight="1" x14ac:dyDescent="0.25">
      <c r="B72" s="1289"/>
      <c r="C72" s="1295"/>
      <c r="D72" s="1294"/>
      <c r="E72" s="1292"/>
      <c r="F72" s="1286"/>
      <c r="G72" s="1286"/>
      <c r="H72" s="1286"/>
      <c r="I72" s="1286"/>
      <c r="J72" s="1286"/>
      <c r="K72" s="565"/>
    </row>
    <row r="73" spans="2:11" ht="12.65" customHeight="1" x14ac:dyDescent="0.25">
      <c r="B73" s="1290" t="s">
        <v>1218</v>
      </c>
      <c r="C73" s="1286"/>
      <c r="D73" s="1294"/>
      <c r="E73" s="1292"/>
      <c r="F73" s="1286"/>
      <c r="G73" s="1286"/>
      <c r="H73" s="1286"/>
      <c r="I73" s="1286"/>
      <c r="J73" s="1286"/>
      <c r="K73" s="565"/>
    </row>
    <row r="74" spans="2:11" ht="12.65" customHeight="1" x14ac:dyDescent="0.25">
      <c r="B74" s="1360" t="s">
        <v>1220</v>
      </c>
      <c r="C74" s="1363">
        <f ca="1">CO2_eCost*pump_power*cap_factor*24*365*n_CO2_pumps</f>
        <v>0</v>
      </c>
      <c r="D74" s="1367" t="str">
        <f>startup_year&amp;"$/year"</f>
        <v>2040$/year</v>
      </c>
      <c r="E74" s="1298" t="s">
        <v>1219</v>
      </c>
      <c r="F74" s="1286"/>
      <c r="G74" s="1286"/>
      <c r="H74" s="1286"/>
      <c r="I74" s="1286"/>
      <c r="J74" s="1286"/>
      <c r="K74" s="565"/>
    </row>
    <row r="75" spans="2:11" ht="12.65" customHeight="1" x14ac:dyDescent="0.25">
      <c r="B75" s="1360" t="s">
        <v>1259</v>
      </c>
      <c r="C75" s="1368">
        <f ca="1">pump_power*cap_factor*24*365*n_CO2_pumps/output_kgyear</f>
        <v>0</v>
      </c>
      <c r="D75" s="1369" t="s">
        <v>1260</v>
      </c>
      <c r="E75" s="1310"/>
      <c r="F75" s="1310"/>
      <c r="G75" s="1310"/>
      <c r="H75" s="1310"/>
      <c r="I75" s="1310"/>
      <c r="J75" s="1310"/>
      <c r="K75" s="565"/>
    </row>
    <row r="76" spans="2:11" ht="12.65" customHeight="1" x14ac:dyDescent="0.25">
      <c r="B76" s="1288"/>
      <c r="C76" s="1286"/>
      <c r="D76" s="1286"/>
      <c r="E76" s="1286"/>
      <c r="F76" s="1286"/>
      <c r="G76" s="1286"/>
      <c r="H76" s="1286"/>
      <c r="I76" s="1286"/>
      <c r="J76" s="1286"/>
      <c r="K76" s="565"/>
    </row>
    <row r="77" spans="2:11" ht="12.65" customHeight="1" x14ac:dyDescent="0.25">
      <c r="B77" s="1290" t="s">
        <v>416</v>
      </c>
      <c r="C77" s="1287"/>
      <c r="D77" s="1287"/>
      <c r="E77" s="1287"/>
      <c r="F77" s="1287"/>
      <c r="G77" s="1287"/>
      <c r="H77" s="1287"/>
      <c r="I77" s="1287"/>
      <c r="J77" s="1287"/>
      <c r="K77" s="565"/>
    </row>
    <row r="78" spans="2:11" ht="12.65" customHeight="1" x14ac:dyDescent="0.25">
      <c r="B78" s="1360" t="s">
        <v>1263</v>
      </c>
      <c r="C78" s="1370">
        <f ca="1">C71*CO2_MaintFactor</f>
        <v>3239.5557454079453</v>
      </c>
      <c r="D78" s="1364" t="str">
        <f>ref_year&amp;"$/year"</f>
        <v>2016$/year</v>
      </c>
      <c r="E78" s="1287"/>
      <c r="F78" s="1287"/>
      <c r="G78" s="1287"/>
      <c r="H78" s="1287"/>
      <c r="I78" s="1287"/>
      <c r="J78" s="1287"/>
      <c r="K78" s="565"/>
    </row>
    <row r="79" spans="2:11" ht="12.65" customHeight="1" x14ac:dyDescent="0.25">
      <c r="B79" s="1288"/>
      <c r="C79" s="1287"/>
      <c r="D79" s="1287"/>
      <c r="E79" s="1287"/>
      <c r="F79" s="1287"/>
      <c r="G79" s="1287"/>
      <c r="H79" s="1287"/>
      <c r="I79" s="1287"/>
      <c r="J79" s="1287"/>
      <c r="K79" s="565"/>
    </row>
    <row r="80" spans="2:11" ht="15" customHeight="1" x14ac:dyDescent="0.25">
      <c r="B80" s="32" t="s">
        <v>1209</v>
      </c>
      <c r="C80" s="1286"/>
      <c r="D80" s="1286"/>
      <c r="E80" s="1286"/>
      <c r="F80" s="1286"/>
      <c r="G80" s="1286"/>
      <c r="H80" s="1286"/>
      <c r="I80" s="1286"/>
      <c r="J80" s="1286"/>
      <c r="K80" s="565"/>
    </row>
    <row r="81" spans="2:13" ht="12.65" customHeight="1" x14ac:dyDescent="0.25">
      <c r="B81" s="1290" t="s">
        <v>83</v>
      </c>
      <c r="C81" s="1286"/>
      <c r="D81" s="1286"/>
      <c r="E81" s="1286"/>
      <c r="F81" s="1286"/>
      <c r="G81" s="1286"/>
      <c r="H81" s="1286"/>
      <c r="I81" s="1286"/>
      <c r="J81" s="1286"/>
      <c r="K81" s="565"/>
    </row>
    <row r="82" spans="2:13" ht="12.65" customHeight="1" x14ac:dyDescent="0.25">
      <c r="B82" s="1360" t="s">
        <v>1210</v>
      </c>
      <c r="C82" s="1363">
        <f ca="1">IF(C35="yes",701600*(CO2_flowrate_GTpY/3.2)^Scaling_Factor_Exponent*(VLOOKUP(ref_year,Tbl_PlantCostIndexes,2)/VLOOKUP(2000,Tbl_PlantCostIndexes,2)),0)</f>
        <v>0</v>
      </c>
      <c r="D82" s="1364" t="str">
        <f>ref_year&amp;"$"</f>
        <v>2016$</v>
      </c>
      <c r="E82" s="1293" t="s">
        <v>1277</v>
      </c>
      <c r="F82" s="1286"/>
      <c r="G82" s="1286"/>
      <c r="H82" s="1286"/>
      <c r="I82" s="1286"/>
      <c r="J82" s="1286"/>
      <c r="K82" s="565"/>
    </row>
    <row r="83" spans="2:13" ht="12.65" customHeight="1" x14ac:dyDescent="0.25">
      <c r="B83" s="1360" t="s">
        <v>1264</v>
      </c>
      <c r="C83" s="1363">
        <f ca="1">IF(C34="yes",94000*(CO2_flowrate_GTpY/3.2)^Scaling_Factor_Exponent*(VLOOKUP(ref_year,Tbl_PlantCostIndexes,2)/VLOOKUP(2000,Tbl_PlantCostIndexes,2)),0)</f>
        <v>0</v>
      </c>
      <c r="D83" s="1364" t="str">
        <f>ref_year&amp;"$"</f>
        <v>2016$</v>
      </c>
      <c r="E83" s="1293" t="s">
        <v>1277</v>
      </c>
      <c r="F83" s="1286"/>
      <c r="G83" s="1286"/>
      <c r="H83" s="1286"/>
      <c r="I83" s="1286"/>
      <c r="J83" s="1286"/>
      <c r="K83" s="565"/>
    </row>
    <row r="84" spans="2:13" ht="12.65" customHeight="1" x14ac:dyDescent="0.25">
      <c r="B84" s="1289"/>
      <c r="C84" s="1286"/>
      <c r="D84" s="1286"/>
      <c r="E84" s="1286"/>
      <c r="F84" s="1286"/>
      <c r="G84" s="1286"/>
      <c r="H84" s="1286"/>
      <c r="I84" s="1286"/>
      <c r="J84" s="1286"/>
      <c r="K84" s="565"/>
    </row>
    <row r="85" spans="2:13" ht="12.65" customHeight="1" x14ac:dyDescent="0.25">
      <c r="B85" s="1290" t="s">
        <v>416</v>
      </c>
      <c r="C85" s="1287"/>
      <c r="D85" s="1287"/>
      <c r="E85" s="1287"/>
      <c r="F85" s="1287"/>
      <c r="G85" s="1287"/>
      <c r="H85" s="1287"/>
      <c r="I85" s="1287"/>
      <c r="J85" s="1287"/>
      <c r="K85" s="565"/>
    </row>
    <row r="86" spans="2:13" ht="12.65" customHeight="1" x14ac:dyDescent="0.25">
      <c r="B86" s="1360" t="s">
        <v>1263</v>
      </c>
      <c r="C86" s="1363">
        <f ca="1">SUM(C82:C83)*CO2_MaintFactor</f>
        <v>0</v>
      </c>
      <c r="D86" s="1364" t="str">
        <f>ref_year&amp;"$/year"</f>
        <v>2016$/year</v>
      </c>
      <c r="E86" s="1310"/>
      <c r="F86" s="1310"/>
      <c r="G86" s="1310"/>
      <c r="H86" s="1310"/>
      <c r="I86" s="1310"/>
      <c r="J86" s="1310"/>
      <c r="K86" s="565"/>
    </row>
    <row r="87" spans="2:13" s="1286" customFormat="1" ht="12.65" customHeight="1" thickBot="1" x14ac:dyDescent="0.3">
      <c r="B87" s="1299"/>
      <c r="C87" s="566"/>
      <c r="D87" s="566"/>
      <c r="E87" s="566"/>
      <c r="F87" s="566"/>
      <c r="G87" s="566"/>
      <c r="H87" s="566"/>
      <c r="I87" s="566"/>
      <c r="J87" s="566"/>
      <c r="K87" s="567"/>
    </row>
    <row r="88" spans="2:13" s="1287" customFormat="1" ht="12.65" customHeight="1" thickTop="1" thickBot="1" x14ac:dyDescent="0.3">
      <c r="B88" s="1291"/>
    </row>
    <row r="89" spans="2:13" s="1287" customFormat="1" ht="21" customHeight="1" thickTop="1" x14ac:dyDescent="0.25">
      <c r="B89" s="554" t="s">
        <v>1229</v>
      </c>
      <c r="C89" s="563"/>
      <c r="D89" s="563"/>
      <c r="E89" s="563"/>
      <c r="F89" s="563"/>
      <c r="G89" s="563"/>
      <c r="H89" s="563"/>
      <c r="I89" s="563"/>
      <c r="J89" s="563"/>
      <c r="K89" s="564"/>
    </row>
    <row r="90" spans="2:13" s="1287" customFormat="1" ht="12.65" customHeight="1" x14ac:dyDescent="0.25">
      <c r="B90" s="32" t="s">
        <v>1234</v>
      </c>
      <c r="C90" s="1310"/>
      <c r="D90" s="1336" t="s">
        <v>1049</v>
      </c>
      <c r="E90" s="1332" t="s">
        <v>1249</v>
      </c>
      <c r="F90" s="1310"/>
      <c r="G90" s="1310"/>
      <c r="H90" s="1310"/>
      <c r="I90" s="1310"/>
      <c r="J90" s="1310"/>
      <c r="K90" s="565"/>
      <c r="L90" s="1310"/>
      <c r="M90" s="1310"/>
    </row>
    <row r="91" spans="2:13" s="1296" customFormat="1" hidden="1" x14ac:dyDescent="0.25">
      <c r="B91" s="1289" t="s">
        <v>1232</v>
      </c>
      <c r="C91" s="568">
        <f>VLOOKUP(2005,DeflatorTable,2)/VLOOKUP(2008,DeflatorTable,2)</f>
        <v>0.92676070528967247</v>
      </c>
      <c r="D91" s="1310"/>
      <c r="E91" s="1310"/>
      <c r="F91" s="1310"/>
      <c r="G91" s="1310"/>
      <c r="H91" s="1310"/>
      <c r="I91" s="1310"/>
      <c r="J91" s="1310"/>
      <c r="K91" s="565"/>
      <c r="L91" s="1310"/>
      <c r="M91" s="1310"/>
    </row>
    <row r="92" spans="2:13" s="1287" customFormat="1" ht="12.65" customHeight="1" x14ac:dyDescent="0.25">
      <c r="B92" s="1290" t="str">
        <f>"Capital Costs by Stage (Annual Cost of "&amp;plant_life&amp;" year project in "&amp;ref_year&amp;"$)"</f>
        <v>Capital Costs by Stage (Annual Cost of 40 year project in 2016$)</v>
      </c>
      <c r="C92" s="1310"/>
      <c r="D92" s="1310"/>
      <c r="E92" s="1293" t="s">
        <v>1285</v>
      </c>
      <c r="F92" s="1310"/>
      <c r="G92" s="1310"/>
      <c r="H92" s="1310"/>
      <c r="I92" s="1310"/>
      <c r="J92" s="1310"/>
      <c r="K92" s="565"/>
      <c r="L92" s="1310"/>
      <c r="M92" s="1310"/>
    </row>
    <row r="93" spans="2:13" s="1287" customFormat="1" ht="12.65" customHeight="1" x14ac:dyDescent="0.25">
      <c r="B93" s="1360" t="s">
        <v>1225</v>
      </c>
      <c r="C93" s="1363">
        <f>94000*VLOOKUP(ref_year,Tbl_labor_indexes,2)/VLOOKUP(2008,Tbl_labor_indexes,2)</f>
        <v>109497.94871794869</v>
      </c>
      <c r="D93" s="1364" t="str">
        <f>ref_year&amp;"$"</f>
        <v>2016$</v>
      </c>
      <c r="F93" s="1310"/>
      <c r="G93" s="1310"/>
      <c r="H93" s="1310"/>
      <c r="I93" s="1310"/>
      <c r="J93" s="1310"/>
      <c r="K93" s="565"/>
      <c r="L93" s="1310"/>
      <c r="M93" s="1310"/>
    </row>
    <row r="94" spans="2:13" s="1287" customFormat="1" ht="12.65" customHeight="1" x14ac:dyDescent="0.25">
      <c r="B94" s="1360" t="s">
        <v>1226</v>
      </c>
      <c r="C94" s="1363">
        <f ca="1">(-16600*CO2_flowrate_GTpY^2+53500*CO2_flowrate_GTpY+20300)*1000*VLOOKUP(ref_year,Tbl_labor_indexes,2)/VLOOKUP(2008,Tbl_labor_indexes,2)</f>
        <v>23646897.435897429</v>
      </c>
      <c r="D94" s="1364" t="str">
        <f>ref_year&amp;"$"</f>
        <v>2016$</v>
      </c>
      <c r="E94" s="1310"/>
      <c r="F94" s="1310"/>
      <c r="G94" s="1310"/>
      <c r="H94" s="1310"/>
      <c r="I94" s="1310"/>
      <c r="J94" s="1310"/>
      <c r="K94" s="565"/>
      <c r="L94" s="1310"/>
      <c r="M94" s="1310"/>
    </row>
    <row r="95" spans="2:13" s="1287" customFormat="1" ht="12.65" customHeight="1" x14ac:dyDescent="0.25">
      <c r="B95" s="1360" t="s">
        <v>169</v>
      </c>
      <c r="C95" s="1363">
        <f ca="1" xml:space="preserve"> (-400*CO2_flowrate_GTpY^2 + 2200*CO2_flowrate_GTpY + 13800)*1000*VLOOKUP(ref_year,Tbl_labor_indexes,2)/VLOOKUP(2008,Tbl_labor_indexes,2)</f>
        <v>16075230.769230762</v>
      </c>
      <c r="D95" s="1364" t="str">
        <f>ref_year&amp;"$"</f>
        <v>2016$</v>
      </c>
      <c r="E95" s="1310"/>
      <c r="F95" s="1310"/>
      <c r="G95" s="1310"/>
      <c r="H95" s="1310"/>
      <c r="I95" s="1310"/>
      <c r="J95" s="1310"/>
      <c r="K95" s="565"/>
      <c r="L95" s="1310"/>
      <c r="M95" s="1310"/>
    </row>
    <row r="96" spans="2:13" s="1310" customFormat="1" ht="12.65" customHeight="1" x14ac:dyDescent="0.25">
      <c r="B96" s="1289"/>
      <c r="C96" s="1308"/>
      <c r="K96" s="565"/>
    </row>
    <row r="97" spans="2:13" s="1310" customFormat="1" ht="12.65" customHeight="1" x14ac:dyDescent="0.25">
      <c r="B97" s="1290" t="s">
        <v>1257</v>
      </c>
      <c r="C97" s="1308"/>
      <c r="E97" s="1293"/>
      <c r="K97" s="565"/>
    </row>
    <row r="98" spans="2:13" s="1287" customFormat="1" ht="12.65" customHeight="1" x14ac:dyDescent="0.25">
      <c r="B98" s="1360" t="s">
        <v>1283</v>
      </c>
      <c r="C98" s="1363">
        <f ca="1">(-36000*CO2_flowrate_GTpY^2+224000*CO2_flowrate_GTpY+47000)*1000*(VLOOKUP(ref_year,Tbl_labor_indexes,2)/VLOOKUP(2008,Tbl_labor_indexes,2))/plant_life</f>
        <v>1368724.3589743585</v>
      </c>
      <c r="D98" s="1364" t="str">
        <f>ref_year&amp;"$/year"</f>
        <v>2016$/year</v>
      </c>
      <c r="E98" s="1310"/>
      <c r="F98" s="1310"/>
      <c r="G98" s="1310"/>
      <c r="H98" s="1310"/>
      <c r="I98" s="1310"/>
      <c r="J98" s="1310"/>
      <c r="K98" s="565"/>
      <c r="L98" s="1310"/>
      <c r="M98" s="1310"/>
    </row>
    <row r="99" spans="2:13" s="1287" customFormat="1" ht="12.65" customHeight="1" x14ac:dyDescent="0.25">
      <c r="B99" s="1360" t="s">
        <v>1228</v>
      </c>
      <c r="C99" s="1363">
        <f ca="1">(-18000*CO2_flowrate_GTpY^2 + 183000*CO2_flowrate_GTpY+ 40000)*1000*(VLOOKUP(ref_year,Tbl_labor_indexes,2)/VLOOKUP(2008,Tbl_labor_indexes,2))/plant_life</f>
        <v>1164871.7948717945</v>
      </c>
      <c r="D99" s="1364" t="str">
        <f>ref_year&amp;"$/year"</f>
        <v>2016$/year</v>
      </c>
      <c r="E99" s="1310"/>
      <c r="F99" s="1310"/>
      <c r="G99" s="1310"/>
      <c r="H99" s="1310"/>
      <c r="I99" s="1310"/>
      <c r="J99" s="1310"/>
      <c r="K99" s="565"/>
      <c r="L99" s="1310"/>
      <c r="M99" s="1310"/>
    </row>
    <row r="100" spans="2:13" s="1310" customFormat="1" ht="12.65" customHeight="1" x14ac:dyDescent="0.25">
      <c r="B100" s="1360" t="s">
        <v>1284</v>
      </c>
      <c r="C100" s="1381">
        <f>+IF(CO2_Capture_Efficiency,SUM(C98:C99),0)</f>
        <v>0</v>
      </c>
      <c r="D100" s="1364" t="str">
        <f>ref_year&amp;"$/year"</f>
        <v>2016$/year</v>
      </c>
      <c r="K100" s="565"/>
    </row>
    <row r="101" spans="2:13" s="1287" customFormat="1" ht="12.65" customHeight="1" x14ac:dyDescent="0.25">
      <c r="B101" s="1290"/>
      <c r="C101" s="1308"/>
      <c r="D101" s="1310"/>
      <c r="E101" s="1310"/>
      <c r="F101" s="1310"/>
      <c r="G101" s="1310"/>
      <c r="H101" s="1310"/>
      <c r="I101" s="1310"/>
      <c r="J101" s="1310"/>
      <c r="K101" s="565"/>
      <c r="L101" s="1310"/>
      <c r="M101" s="1310"/>
    </row>
    <row r="102" spans="2:13" s="1287" customFormat="1" ht="12.65" customHeight="1" x14ac:dyDescent="0.25">
      <c r="B102" s="1290" t="s">
        <v>1230</v>
      </c>
      <c r="C102" s="1308"/>
      <c r="D102" s="1310"/>
      <c r="E102" s="1293"/>
      <c r="F102" s="1310"/>
      <c r="G102" s="1310"/>
      <c r="H102" s="1310"/>
      <c r="I102" s="1310"/>
      <c r="J102" s="1310"/>
      <c r="K102" s="565"/>
      <c r="L102" s="1310"/>
      <c r="M102" s="1310"/>
    </row>
    <row r="103" spans="2:13" s="1286" customFormat="1" ht="12.65" customHeight="1" x14ac:dyDescent="0.25">
      <c r="B103" s="1360" t="s">
        <v>1225</v>
      </c>
      <c r="C103" s="1363">
        <f>0*(VLOOKUP(ref_year,Tbl_labor_indexes,2)/VLOOKUP(2008,Tbl_labor_indexes,2))</f>
        <v>0</v>
      </c>
      <c r="D103" s="1364" t="str">
        <f>ref_year&amp;"$/year"</f>
        <v>2016$/year</v>
      </c>
      <c r="E103" s="1310"/>
      <c r="F103" s="1310"/>
      <c r="G103" s="1310"/>
      <c r="H103" s="1310"/>
      <c r="I103" s="1310"/>
      <c r="J103" s="1310"/>
      <c r="K103" s="565"/>
      <c r="L103" s="1310"/>
      <c r="M103" s="1310"/>
    </row>
    <row r="104" spans="2:13" s="1287" customFormat="1" ht="12.65" customHeight="1" x14ac:dyDescent="0.25">
      <c r="B104" s="1360" t="s">
        <v>1226</v>
      </c>
      <c r="C104" s="1363">
        <f>395000*(VLOOKUP(ref_year,Tbl_labor_indexes,2)/VLOOKUP(2008,Tbl_labor_indexes,2))/plant_life</f>
        <v>11503.108974358973</v>
      </c>
      <c r="D104" s="1364" t="str">
        <f>ref_year&amp;"$/year"</f>
        <v>2016$/year</v>
      </c>
      <c r="E104" s="1310"/>
      <c r="F104" s="1310"/>
      <c r="G104" s="1310"/>
      <c r="H104" s="1310"/>
      <c r="I104" s="1310"/>
      <c r="J104" s="1310"/>
      <c r="K104" s="565"/>
      <c r="L104" s="1310"/>
      <c r="M104" s="1310"/>
    </row>
    <row r="105" spans="2:13" s="1287" customFormat="1" ht="12.65" customHeight="1" x14ac:dyDescent="0.25">
      <c r="B105" s="1360" t="s">
        <v>169</v>
      </c>
      <c r="C105" s="1363">
        <f>100000*(VLOOKUP(ref_year,Tbl_labor_indexes,2)/VLOOKUP(2008,Tbl_labor_indexes,2))/plant_life</f>
        <v>2912.1794871794864</v>
      </c>
      <c r="D105" s="1364" t="str">
        <f>ref_year&amp;"$/year"</f>
        <v>2016$/year</v>
      </c>
      <c r="E105" s="1310"/>
      <c r="F105" s="1310"/>
      <c r="G105" s="1310"/>
      <c r="H105" s="1310"/>
      <c r="I105" s="1310"/>
      <c r="J105" s="1310"/>
      <c r="K105" s="565"/>
      <c r="L105" s="1310"/>
      <c r="M105" s="1310"/>
    </row>
    <row r="106" spans="2:13" s="1287" customFormat="1" ht="12.65" customHeight="1" x14ac:dyDescent="0.25">
      <c r="B106" s="1360" t="s">
        <v>1227</v>
      </c>
      <c r="C106" s="1363">
        <f ca="1" xml:space="preserve"> (-30000*CO2_flowrate_GTpY^2 + 143000*CO2_flowrate_GTpY + 41000)*1000*(VLOOKUP(ref_year,Tbl_labor_indexes,2)/VLOOKUP(2008,Tbl_labor_indexes,2))/plant_life</f>
        <v>1193993.5897435895</v>
      </c>
      <c r="D106" s="1364" t="str">
        <f>ref_year&amp;"$/year"</f>
        <v>2016$/year</v>
      </c>
      <c r="E106" s="1310"/>
      <c r="F106" s="1310"/>
      <c r="G106" s="1310"/>
      <c r="H106" s="1310"/>
      <c r="I106" s="1310"/>
      <c r="J106" s="1310"/>
      <c r="K106" s="565"/>
      <c r="L106" s="1310"/>
      <c r="M106" s="1310"/>
    </row>
    <row r="107" spans="2:13" s="1287" customFormat="1" ht="12.65" customHeight="1" x14ac:dyDescent="0.25">
      <c r="B107" s="1360" t="s">
        <v>1228</v>
      </c>
      <c r="C107" s="1363">
        <f ca="1">(111200*CO2_flowrate_GTpY+27733.33)*1000*(VLOOKUP(ref_year,Tbl_labor_indexes,2)/VLOOKUP(2008,Tbl_labor_indexes,2))/plant_life</f>
        <v>807644.34737179463</v>
      </c>
      <c r="D107" s="1364" t="str">
        <f>ref_year&amp;"$/year"</f>
        <v>2016$/year</v>
      </c>
      <c r="E107" s="1310"/>
      <c r="F107" s="1310"/>
      <c r="G107" s="1310"/>
      <c r="H107" s="1310"/>
      <c r="I107" s="1310"/>
      <c r="J107" s="1310"/>
      <c r="K107" s="565"/>
      <c r="L107" s="1310"/>
      <c r="M107" s="1310"/>
    </row>
    <row r="108" spans="2:13" s="1287" customFormat="1" ht="12.65" customHeight="1" thickBot="1" x14ac:dyDescent="0.3">
      <c r="B108" s="1299"/>
      <c r="C108" s="566"/>
      <c r="D108" s="566"/>
      <c r="E108" s="566"/>
      <c r="F108" s="566"/>
      <c r="G108" s="566"/>
      <c r="H108" s="566"/>
      <c r="I108" s="566"/>
      <c r="J108" s="566"/>
      <c r="K108" s="567"/>
      <c r="L108" s="1310"/>
      <c r="M108" s="1310"/>
    </row>
    <row r="109" spans="2:13" s="1287" customFormat="1" ht="12.65" customHeight="1" thickTop="1" x14ac:dyDescent="0.25">
      <c r="B109" s="1291"/>
      <c r="C109" s="1309"/>
      <c r="D109" s="1292"/>
      <c r="L109" s="1310"/>
      <c r="M109" s="1310"/>
    </row>
    <row r="110" spans="2:13" x14ac:dyDescent="0.25">
      <c r="L110" s="1310"/>
      <c r="M110" s="1310"/>
    </row>
    <row r="111" spans="2:13" x14ac:dyDescent="0.25">
      <c r="L111" s="1310"/>
      <c r="M111" s="1310"/>
    </row>
  </sheetData>
  <mergeCells count="48">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 ref="E33:F33"/>
    <mergeCell ref="H46:J46"/>
    <mergeCell ref="H38:I38"/>
    <mergeCell ref="H40:I40"/>
    <mergeCell ref="H35:I35"/>
    <mergeCell ref="H39:I39"/>
    <mergeCell ref="H34:I3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47:F47"/>
    <mergeCell ref="H48:J48"/>
    <mergeCell ref="H45:J45"/>
    <mergeCell ref="E48:F48"/>
    <mergeCell ref="H41:I41"/>
    <mergeCell ref="H43:I43"/>
    <mergeCell ref="H47:J47"/>
    <mergeCell ref="E41:F41"/>
    <mergeCell ref="E46:F46"/>
    <mergeCell ref="E44:F44"/>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68" r:id="rId4" name="chk_CO2_Pipeline_Temp">
          <controlPr defaultSize="0" autoLine="0" r:id="rId5">
            <anchor moveWithCells="1">
              <from>
                <xdr:col>3</xdr:col>
                <xdr:colOff>247650</xdr:colOff>
                <xdr:row>38</xdr:row>
                <xdr:rowOff>165100</xdr:rowOff>
              </from>
              <to>
                <xdr:col>4</xdr:col>
                <xdr:colOff>152400</xdr:colOff>
                <xdr:row>40</xdr:row>
                <xdr:rowOff>82550</xdr:rowOff>
              </to>
            </anchor>
          </controlPr>
        </control>
      </mc:Choice>
      <mc:Fallback>
        <control shapeId="17568" r:id="rId4" name="chk_CO2_Pipeline_Temp"/>
      </mc:Fallback>
    </mc:AlternateContent>
    <mc:AlternateContent xmlns:mc="http://schemas.openxmlformats.org/markup-compatibility/2006">
      <mc:Choice Requires="x14">
        <control shapeId="17567" r:id="rId6" name="chk_CO2_PipeElevation">
          <controlPr defaultSize="0" autoLine="0" r:id="rId7">
            <anchor moveWithCells="1">
              <from>
                <xdr:col>3</xdr:col>
                <xdr:colOff>241300</xdr:colOff>
                <xdr:row>35</xdr:row>
                <xdr:rowOff>165100</xdr:rowOff>
              </from>
              <to>
                <xdr:col>4</xdr:col>
                <xdr:colOff>146050</xdr:colOff>
                <xdr:row>37</xdr:row>
                <xdr:rowOff>76200</xdr:rowOff>
              </to>
            </anchor>
          </controlPr>
        </control>
      </mc:Choice>
      <mc:Fallback>
        <control shapeId="17567" r:id="rId6" name="chk_CO2_PipeElevation"/>
      </mc:Fallback>
    </mc:AlternateContent>
    <mc:AlternateContent xmlns:mc="http://schemas.openxmlformats.org/markup-compatibility/2006">
      <mc:Choice Requires="x14">
        <control shapeId="17566" r:id="rId8" name="chk_CO2_PipeLength">
          <controlPr defaultSize="0" autoLine="0" r:id="rId9">
            <anchor moveWithCells="1">
              <from>
                <xdr:col>3</xdr:col>
                <xdr:colOff>241300</xdr:colOff>
                <xdr:row>34</xdr:row>
                <xdr:rowOff>152400</xdr:rowOff>
              </from>
              <to>
                <xdr:col>4</xdr:col>
                <xdr:colOff>146050</xdr:colOff>
                <xdr:row>36</xdr:row>
                <xdr:rowOff>63500</xdr:rowOff>
              </to>
            </anchor>
          </controlPr>
        </control>
      </mc:Choice>
      <mc:Fallback>
        <control shapeId="17566" r:id="rId8" name="chk_CO2_PipeLength"/>
      </mc:Fallback>
    </mc:AlternateContent>
    <mc:AlternateContent xmlns:mc="http://schemas.openxmlformats.org/markup-compatibility/2006">
      <mc:Choice Requires="x14">
        <control shapeId="17565" r:id="rId10" name="chk_CO2_SurgeTank">
          <controlPr defaultSize="0" autoLine="0" r:id="rId11">
            <anchor moveWithCells="1">
              <from>
                <xdr:col>3</xdr:col>
                <xdr:colOff>241300</xdr:colOff>
                <xdr:row>33</xdr:row>
                <xdr:rowOff>152400</xdr:rowOff>
              </from>
              <to>
                <xdr:col>4</xdr:col>
                <xdr:colOff>146050</xdr:colOff>
                <xdr:row>35</xdr:row>
                <xdr:rowOff>63500</xdr:rowOff>
              </to>
            </anchor>
          </controlPr>
        </control>
      </mc:Choice>
      <mc:Fallback>
        <control shapeId="17565" r:id="rId10" name="chk_CO2_SurgeTank"/>
      </mc:Fallback>
    </mc:AlternateContent>
    <mc:AlternateContent xmlns:mc="http://schemas.openxmlformats.org/markup-compatibility/2006">
      <mc:Choice Requires="x14">
        <control shapeId="17563" r:id="rId12" name="chk_CO2_ControlSystem">
          <controlPr defaultSize="0" autoLine="0" r:id="rId13">
            <anchor moveWithCells="1">
              <from>
                <xdr:col>3</xdr:col>
                <xdr:colOff>241300</xdr:colOff>
                <xdr:row>32</xdr:row>
                <xdr:rowOff>165100</xdr:rowOff>
              </from>
              <to>
                <xdr:col>4</xdr:col>
                <xdr:colOff>146050</xdr:colOff>
                <xdr:row>34</xdr:row>
                <xdr:rowOff>76200</xdr:rowOff>
              </to>
            </anchor>
          </controlPr>
        </control>
      </mc:Choice>
      <mc:Fallback>
        <control shapeId="17563" r:id="rId12" name="chk_CO2_ControlSystem"/>
      </mc:Fallback>
    </mc:AlternateContent>
    <mc:AlternateContent xmlns:mc="http://schemas.openxmlformats.org/markup-compatibility/2006">
      <mc:Choice Requires="x14">
        <control shapeId="17562" r:id="rId14" name="chk_CO2_Pump_Eff">
          <controlPr defaultSize="0" autoLine="0" r:id="rId15">
            <anchor moveWithCells="1">
              <from>
                <xdr:col>3</xdr:col>
                <xdr:colOff>241300</xdr:colOff>
                <xdr:row>31</xdr:row>
                <xdr:rowOff>336550</xdr:rowOff>
              </from>
              <to>
                <xdr:col>4</xdr:col>
                <xdr:colOff>146050</xdr:colOff>
                <xdr:row>33</xdr:row>
                <xdr:rowOff>63500</xdr:rowOff>
              </to>
            </anchor>
          </controlPr>
        </control>
      </mc:Choice>
      <mc:Fallback>
        <control shapeId="17562" r:id="rId14" name="chk_CO2_Pump_Eff"/>
      </mc:Fallback>
    </mc:AlternateContent>
    <mc:AlternateContent xmlns:mc="http://schemas.openxmlformats.org/markup-compatibility/2006">
      <mc:Choice Requires="x14">
        <control shapeId="17561" r:id="rId16" name="chk_n_CO2_pumps">
          <controlPr defaultSize="0" autoLine="0" r:id="rId17">
            <anchor moveWithCells="1">
              <from>
                <xdr:col>3</xdr:col>
                <xdr:colOff>241300</xdr:colOff>
                <xdr:row>31</xdr:row>
                <xdr:rowOff>69850</xdr:rowOff>
              </from>
              <to>
                <xdr:col>4</xdr:col>
                <xdr:colOff>146050</xdr:colOff>
                <xdr:row>31</xdr:row>
                <xdr:rowOff>317500</xdr:rowOff>
              </to>
            </anchor>
          </controlPr>
        </control>
      </mc:Choice>
      <mc:Fallback>
        <control shapeId="17561" r:id="rId16" name="chk_n_CO2_pumps"/>
      </mc:Fallback>
    </mc:AlternateContent>
    <mc:AlternateContent xmlns:mc="http://schemas.openxmlformats.org/markup-compatibility/2006">
      <mc:Choice Requires="x14">
        <control shapeId="17452" r:id="rId18" name="chk_CO2_Capture_Efficiency">
          <controlPr defaultSize="0" autoLine="0" r:id="rId19">
            <anchor moveWithCells="1">
              <from>
                <xdr:col>3</xdr:col>
                <xdr:colOff>247650</xdr:colOff>
                <xdr:row>28</xdr:row>
                <xdr:rowOff>171450</xdr:rowOff>
              </from>
              <to>
                <xdr:col>4</xdr:col>
                <xdr:colOff>152400</xdr:colOff>
                <xdr:row>30</xdr:row>
                <xdr:rowOff>76200</xdr:rowOff>
              </to>
            </anchor>
          </controlPr>
        </control>
      </mc:Choice>
      <mc:Fallback>
        <control shapeId="17452" r:id="rId18" name="chk_CO2_Capture_Efficiency"/>
      </mc:Fallback>
    </mc:AlternateContent>
    <mc:AlternateContent xmlns:mc="http://schemas.openxmlformats.org/markup-compatibility/2006">
      <mc:Choice Requires="x14">
        <control shapeId="17453" r:id="rId20" name="chk_CO2_MaintFactor">
          <controlPr defaultSize="0" autoLine="0" r:id="rId21">
            <anchor moveWithCells="1">
              <from>
                <xdr:col>3</xdr:col>
                <xdr:colOff>247650</xdr:colOff>
                <xdr:row>43</xdr:row>
                <xdr:rowOff>0</xdr:rowOff>
              </from>
              <to>
                <xdr:col>4</xdr:col>
                <xdr:colOff>152400</xdr:colOff>
                <xdr:row>44</xdr:row>
                <xdr:rowOff>63500</xdr:rowOff>
              </to>
            </anchor>
          </controlPr>
        </control>
      </mc:Choice>
      <mc:Fallback>
        <control shapeId="17453" r:id="rId20" name="chk_CO2_MaintFactor"/>
      </mc:Fallback>
    </mc:AlternateContent>
    <mc:AlternateContent xmlns:mc="http://schemas.openxmlformats.org/markup-compatibility/2006">
      <mc:Choice Requires="x14">
        <control shapeId="17497" r:id="rId22" name="chk_CO2_Pin_psia">
          <controlPr defaultSize="0" autoLine="0" r:id="rId23">
            <anchor moveWithCells="1">
              <from>
                <xdr:col>3</xdr:col>
                <xdr:colOff>247650</xdr:colOff>
                <xdr:row>30</xdr:row>
                <xdr:rowOff>69850</xdr:rowOff>
              </from>
              <to>
                <xdr:col>4</xdr:col>
                <xdr:colOff>152400</xdr:colOff>
                <xdr:row>30</xdr:row>
                <xdr:rowOff>317500</xdr:rowOff>
              </to>
            </anchor>
          </controlPr>
        </control>
      </mc:Choice>
      <mc:Fallback>
        <control shapeId="17497" r:id="rId22" name="chk_CO2_Pin_psia"/>
      </mc:Fallback>
    </mc:AlternateContent>
    <mc:AlternateContent xmlns:mc="http://schemas.openxmlformats.org/markup-compatibility/2006">
      <mc:Choice Requires="x14">
        <control shapeId="17509" r:id="rId24" name="chk_CO2_credit">
          <controlPr defaultSize="0" autoLine="0" r:id="rId25">
            <anchor moveWithCells="1">
              <from>
                <xdr:col>3</xdr:col>
                <xdr:colOff>247650</xdr:colOff>
                <xdr:row>41</xdr:row>
                <xdr:rowOff>171450</xdr:rowOff>
              </from>
              <to>
                <xdr:col>4</xdr:col>
                <xdr:colOff>279400</xdr:colOff>
                <xdr:row>43</xdr:row>
                <xdr:rowOff>69850</xdr:rowOff>
              </to>
            </anchor>
          </controlPr>
        </control>
      </mc:Choice>
      <mc:Fallback>
        <control shapeId="17509" r:id="rId24" name="chk_CO2_credi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B109" sqref="B109"/>
    </sheetView>
  </sheetViews>
  <sheetFormatPr defaultRowHeight="12.5" x14ac:dyDescent="0.25"/>
  <cols>
    <col min="2" max="2" width="28.7265625" customWidth="1"/>
    <col min="3" max="3" width="25.26953125" customWidth="1"/>
    <col min="4" max="4" width="22.7265625" customWidth="1"/>
    <col min="5" max="5" width="22.1796875" customWidth="1"/>
    <col min="6" max="6" width="20.26953125" customWidth="1"/>
    <col min="7" max="7" width="18.54296875" customWidth="1"/>
    <col min="8" max="8" width="15.7265625" customWidth="1"/>
    <col min="9" max="9" width="16.26953125" customWidth="1"/>
  </cols>
  <sheetData>
    <row r="1" spans="2:9" ht="13" thickBot="1" x14ac:dyDescent="0.3"/>
    <row r="2" spans="2:9" ht="16" thickTop="1" x14ac:dyDescent="0.35">
      <c r="B2" s="731" t="s">
        <v>1067</v>
      </c>
      <c r="C2" s="732"/>
    </row>
    <row r="3" spans="2:9" x14ac:dyDescent="0.25">
      <c r="B3" s="733" t="s">
        <v>79</v>
      </c>
      <c r="C3" s="691"/>
    </row>
    <row r="4" spans="2:9" x14ac:dyDescent="0.25">
      <c r="B4" s="733" t="s">
        <v>919</v>
      </c>
      <c r="C4" s="691"/>
    </row>
    <row r="5" spans="2:9" x14ac:dyDescent="0.25">
      <c r="B5" s="733" t="s">
        <v>394</v>
      </c>
      <c r="C5" s="691"/>
    </row>
    <row r="6" spans="2:9" x14ac:dyDescent="0.25">
      <c r="B6" s="733" t="s">
        <v>1068</v>
      </c>
      <c r="C6" s="691"/>
    </row>
    <row r="7" spans="2:9" x14ac:dyDescent="0.25">
      <c r="B7" s="733" t="s">
        <v>402</v>
      </c>
      <c r="C7" s="691"/>
    </row>
    <row r="8" spans="2:9" x14ac:dyDescent="0.25">
      <c r="B8" s="733" t="s">
        <v>535</v>
      </c>
      <c r="C8" s="691"/>
    </row>
    <row r="9" spans="2:9" x14ac:dyDescent="0.25">
      <c r="B9" s="733" t="s">
        <v>1069</v>
      </c>
      <c r="C9" s="691"/>
    </row>
    <row r="10" spans="2:9" ht="13" thickBot="1" x14ac:dyDescent="0.3">
      <c r="B10" s="734" t="s">
        <v>1070</v>
      </c>
      <c r="C10" s="735"/>
    </row>
    <row r="11" spans="2:9" ht="13" thickTop="1" x14ac:dyDescent="0.25"/>
    <row r="12" spans="2:9" ht="25" x14ac:dyDescent="0.5">
      <c r="B12" s="431" t="s">
        <v>391</v>
      </c>
      <c r="C12" s="135"/>
      <c r="D12" s="135"/>
      <c r="E12" s="53"/>
      <c r="F12" s="53"/>
      <c r="G12" s="40"/>
      <c r="H12" s="41"/>
      <c r="I12" s="134"/>
    </row>
    <row r="13" spans="2:9" ht="13" x14ac:dyDescent="0.3">
      <c r="D13" s="135"/>
      <c r="E13" s="136"/>
      <c r="F13" s="53"/>
      <c r="G13" s="40"/>
      <c r="H13" s="41"/>
      <c r="I13" s="134"/>
    </row>
    <row r="14" spans="2:9" ht="22.5" thickBot="1" x14ac:dyDescent="0.7">
      <c r="B14" s="316" t="s">
        <v>392</v>
      </c>
      <c r="D14" s="135"/>
      <c r="E14" s="53"/>
      <c r="F14" s="53"/>
      <c r="G14" s="40"/>
      <c r="H14" s="41"/>
      <c r="I14" s="134"/>
    </row>
    <row r="15" spans="2:9" ht="16" thickBot="1" x14ac:dyDescent="0.4">
      <c r="B15" s="1041" t="s">
        <v>1095</v>
      </c>
      <c r="C15" s="1042">
        <f ca="1">total_cap/(ProcEqpCap+CCSEqpCap)</f>
        <v>2.7344689460929588</v>
      </c>
      <c r="D15" s="135"/>
      <c r="E15" s="53"/>
      <c r="F15" s="53"/>
      <c r="G15" s="40"/>
      <c r="H15" s="41"/>
      <c r="I15" s="134"/>
    </row>
    <row r="16" spans="2:9" ht="13.5" thickBot="1" x14ac:dyDescent="0.3">
      <c r="B16" s="53"/>
      <c r="C16" s="53"/>
      <c r="D16" s="53"/>
      <c r="E16" s="53"/>
      <c r="F16" s="53"/>
      <c r="G16" s="40"/>
      <c r="H16" s="41"/>
      <c r="I16" s="134"/>
    </row>
    <row r="17" spans="2:9" ht="16.5" thickTop="1" thickBot="1" x14ac:dyDescent="0.4">
      <c r="B17" s="49" t="s">
        <v>79</v>
      </c>
      <c r="C17" s="149"/>
      <c r="D17" s="150"/>
      <c r="E17" s="53"/>
      <c r="F17" s="1634" t="str">
        <f>IF(CO2_inUse = "Carbon Sequestration","Approximate Carbon Sequestration Costs*","Carbon Sequestration is not included in this case")</f>
        <v>Approximate Carbon Sequestration Costs*</v>
      </c>
      <c r="G17" s="1635"/>
      <c r="H17" s="1636"/>
      <c r="I17" s="134"/>
    </row>
    <row r="18" spans="2:9" ht="56.5" thickTop="1" x14ac:dyDescent="0.3">
      <c r="B18" s="152" t="s">
        <v>80</v>
      </c>
      <c r="C18" s="56" t="s">
        <v>81</v>
      </c>
      <c r="D18" s="430" t="s">
        <v>82</v>
      </c>
      <c r="E18" s="53"/>
      <c r="F18" s="1277" t="s">
        <v>80</v>
      </c>
      <c r="G18" s="1278" t="s">
        <v>2</v>
      </c>
      <c r="H18" s="1279" t="s">
        <v>3</v>
      </c>
      <c r="I18" s="134"/>
    </row>
    <row r="19" spans="2:9" ht="14" x14ac:dyDescent="0.3">
      <c r="B19" s="629" t="s">
        <v>83</v>
      </c>
      <c r="C19" s="838">
        <f ca="1">'Cash Flow Analysis'!D119</f>
        <v>0.1245637945748567</v>
      </c>
      <c r="D19" s="153">
        <f ca="1">'Cash Flow Analysis'!C119</f>
        <v>9.4665456863782652E-2</v>
      </c>
      <c r="E19" s="53"/>
      <c r="F19" s="1280" t="s">
        <v>83</v>
      </c>
      <c r="G19" s="1281">
        <f ca="1">IF(CO2_inUse = "Carbon Sequestration",ROUND((Det_CO2_seq+CO2_aprx_indCap)*CO2_cap_charge_rate/output_kgyear,2),"")</f>
        <v>0</v>
      </c>
      <c r="H19" s="1282" t="e">
        <f ca="1">IF(CO2_inUse = "Carbon Sequestration",CO2_capptonneCO2,"")</f>
        <v>#DIV/0!</v>
      </c>
      <c r="I19" s="134"/>
    </row>
    <row r="20" spans="2:9" ht="14" x14ac:dyDescent="0.3">
      <c r="B20" s="629" t="s">
        <v>84</v>
      </c>
      <c r="C20" s="234">
        <f ca="1">'Cash Flow Analysis'!D120</f>
        <v>5.9924728859570735E-4</v>
      </c>
      <c r="D20" s="154">
        <f ca="1">'Cash Flow Analysis'!C120</f>
        <v>4.5541337708048793E-4</v>
      </c>
      <c r="E20" s="53"/>
      <c r="F20" s="1280" t="s">
        <v>4</v>
      </c>
      <c r="G20" s="1281">
        <f ca="1">IF(CO2_inUse = "Carbon Sequestration",ROUND(Det_CO2_OandMcost/output_kgyear,2),"")</f>
        <v>0</v>
      </c>
      <c r="H20" s="1282" t="e">
        <f ca="1">IF(CO2_inUse = "Carbon Sequestration",CO2_OandMptonneCO2,"")</f>
        <v>#DIV/0!</v>
      </c>
      <c r="I20" s="134"/>
    </row>
    <row r="21" spans="2:9" ht="14" x14ac:dyDescent="0.3">
      <c r="B21" s="629" t="s">
        <v>85</v>
      </c>
      <c r="C21" s="234">
        <f ca="1">'Cash Flow Analysis'!D121</f>
        <v>6.0570412267480514E-2</v>
      </c>
      <c r="D21" s="154">
        <f ca="1">'Cash Flow Analysis'!C121</f>
        <v>4.603204140736819E-2</v>
      </c>
      <c r="E21" s="53"/>
      <c r="F21" s="1280" t="s">
        <v>5</v>
      </c>
      <c r="G21" s="1281">
        <f ca="1">IF(CO2_inUse = "Carbon Sequestration",ROUND(CO2_eCostpY/output_kgyear,2),"")</f>
        <v>0</v>
      </c>
      <c r="H21" s="1282" t="e">
        <f ca="1">IF(CO2_inUse = "Carbon Sequestration",CO2_energyptonneCO2,"")</f>
        <v>#DIV/0!</v>
      </c>
      <c r="I21" s="134"/>
    </row>
    <row r="22" spans="2:9" ht="14.5" thickBot="1" x14ac:dyDescent="0.35">
      <c r="B22" s="629" t="s">
        <v>1004</v>
      </c>
      <c r="C22" s="234">
        <f ca="1">'Cash Flow Analysis'!D122</f>
        <v>1.0323787971615324</v>
      </c>
      <c r="D22" s="154">
        <f ca="1">'Cash Flow Analysis'!C122</f>
        <v>0.7845827981022816</v>
      </c>
      <c r="E22" s="53"/>
      <c r="F22" s="1283" t="s">
        <v>58</v>
      </c>
      <c r="G22" s="1284">
        <f ca="1">SUM(G19:G21)</f>
        <v>0</v>
      </c>
      <c r="H22" s="1285" t="e">
        <f ca="1">SUM(H19:H21)</f>
        <v>#DIV/0!</v>
      </c>
      <c r="I22" s="134"/>
    </row>
    <row r="23" spans="2:9" ht="27" customHeight="1" thickTop="1" x14ac:dyDescent="0.25">
      <c r="B23" s="629" t="s">
        <v>86</v>
      </c>
      <c r="C23" s="234">
        <f ca="1">'Cash Flow Analysis'!D123</f>
        <v>0</v>
      </c>
      <c r="D23" s="154">
        <f ca="1">'Cash Flow Analysis'!C123</f>
        <v>0</v>
      </c>
      <c r="E23" s="53"/>
      <c r="F23" s="1637" t="s">
        <v>6</v>
      </c>
      <c r="G23" s="1637"/>
      <c r="H23" s="1637"/>
      <c r="I23" s="134"/>
    </row>
    <row r="24" spans="2:9" x14ac:dyDescent="0.25">
      <c r="B24" s="629" t="s">
        <v>87</v>
      </c>
      <c r="C24" s="234">
        <f ca="1">'Cash Flow Analysis'!D124</f>
        <v>0</v>
      </c>
      <c r="D24" s="154">
        <f ca="1">'Cash Flow Analysis'!C124</f>
        <v>0</v>
      </c>
      <c r="E24" s="53"/>
      <c r="F24" s="53"/>
      <c r="I24" s="134"/>
    </row>
    <row r="25" spans="2:9" ht="25" x14ac:dyDescent="0.25">
      <c r="B25" s="630" t="s">
        <v>88</v>
      </c>
      <c r="C25" s="234">
        <f ca="1">'Cash Flow Analysis'!D125</f>
        <v>9.7719295943352422E-2</v>
      </c>
      <c r="D25" s="154">
        <f ca="1">'Cash Flow Analysis'!C125</f>
        <v>7.4264290249487067E-2</v>
      </c>
      <c r="E25" s="53"/>
      <c r="F25" s="53"/>
      <c r="I25" s="134"/>
    </row>
    <row r="26" spans="2:9" ht="13.5" thickBot="1" x14ac:dyDescent="0.35">
      <c r="B26" s="631" t="s">
        <v>58</v>
      </c>
      <c r="C26" s="839">
        <f ca="1">SUM(C19:C25)</f>
        <v>1.3158315472358175</v>
      </c>
      <c r="D26" s="570"/>
      <c r="E26" s="53"/>
      <c r="F26" s="53"/>
      <c r="I26" s="134"/>
    </row>
    <row r="27" spans="2:9" ht="13.5" thickTop="1" x14ac:dyDescent="0.25">
      <c r="B27" s="53"/>
      <c r="C27" s="53"/>
      <c r="D27" s="143"/>
      <c r="E27" s="53"/>
      <c r="F27" s="53"/>
      <c r="I27" s="134"/>
    </row>
    <row r="28" spans="2:9" ht="22" x14ac:dyDescent="0.65">
      <c r="B28" s="316" t="s">
        <v>393</v>
      </c>
      <c r="C28" s="53"/>
      <c r="D28" s="41"/>
      <c r="E28" s="53"/>
      <c r="F28" s="53"/>
      <c r="G28" s="53"/>
      <c r="H28" s="53"/>
      <c r="I28" s="134"/>
    </row>
    <row r="29" spans="2:9" ht="13" thickBot="1" x14ac:dyDescent="0.3">
      <c r="I29" s="134"/>
    </row>
    <row r="30" spans="2:9" ht="16.5" thickTop="1" thickBot="1" x14ac:dyDescent="0.4">
      <c r="B30" s="1626" t="s">
        <v>919</v>
      </c>
      <c r="C30" s="1627"/>
      <c r="D30" s="613"/>
      <c r="E30" s="613"/>
      <c r="F30" s="613"/>
      <c r="G30" s="614"/>
      <c r="H30" s="614"/>
      <c r="I30" s="618"/>
    </row>
    <row r="31" spans="2:9" ht="42.5" thickBot="1" x14ac:dyDescent="0.3">
      <c r="B31" s="619" t="s">
        <v>248</v>
      </c>
      <c r="C31" s="620" t="s">
        <v>923</v>
      </c>
      <c r="D31" s="620" t="s">
        <v>918</v>
      </c>
      <c r="E31" s="621" t="s">
        <v>708</v>
      </c>
      <c r="F31" s="621" t="s">
        <v>264</v>
      </c>
      <c r="G31" s="621" t="s">
        <v>917</v>
      </c>
      <c r="H31" s="621" t="s">
        <v>934</v>
      </c>
      <c r="I31" s="622" t="s">
        <v>1193</v>
      </c>
    </row>
    <row r="32" spans="2:9" x14ac:dyDescent="0.25">
      <c r="B32" s="708" t="str">
        <f>IF('Cash Flow Analysis'!$B$131=0,"",'Cash Flow Analysis'!$B$131)</f>
        <v>Industrial Natural Gas</v>
      </c>
      <c r="C32" s="709">
        <f ca="1">IF($B$32="","",$E$32*$F$32*$H$32)</f>
        <v>0.16457999999999998</v>
      </c>
      <c r="D32" s="709">
        <f ca="1">IF($B32="","",$C32*1000*MJ_to_kWh)</f>
        <v>45.716666666666661</v>
      </c>
      <c r="E32" s="710">
        <f ca="1">IF($B$32&lt;&gt;"",VLOOKUP($B$32,MASTER_PROPERTY_TABLE,MATCH("H2A LHV (GJ/ H2A usage input unit)",key_MPTable,0),FALSE),"")</f>
        <v>1.0549999999999999</v>
      </c>
      <c r="F32" s="710">
        <f ca="1">IF('Cash Flow Analysis'!$B$133="","",'Cash Flow Analysis'!$B$133)</f>
        <v>0.156</v>
      </c>
      <c r="G32" s="711" t="str">
        <f ca="1">IF($B$32&lt;&gt;"",VLOOKUP($B$32,MASTER_PROPERTY_TABLE,MATCH("H2A Usage Input Unit/ kg H2",key_MPTable,0),FALSE),"")</f>
        <v>mmBtu</v>
      </c>
      <c r="H32" s="711">
        <f ca="1">IF($B32="","",IF(VLOOKUP($B32,MASTER_PROPERTY_TABLE,MATCH("Unit System",key_MPTable,0),FALSE)="English",mmBTU_to_GJ,1))</f>
        <v>1</v>
      </c>
      <c r="I32" s="1226">
        <f ca="1">+'Cash Flow Analysis'!$B$233</f>
        <v>7.0022406148925338</v>
      </c>
    </row>
    <row r="33" spans="2:9" x14ac:dyDescent="0.25">
      <c r="B33" s="662" t="str">
        <f>IF('Cash Flow Analysis'!$C$131=0,"",'Cash Flow Analysis'!$C$131)</f>
        <v/>
      </c>
      <c r="C33" s="712" t="str">
        <f>IF($B$33="","",$E$33*$F$33*$H$33)</f>
        <v/>
      </c>
      <c r="D33" s="712" t="str">
        <f>IF($B33="","",$C33*1000*MJ_to_kWh)</f>
        <v/>
      </c>
      <c r="E33" s="666" t="str">
        <f>IF($B$33&lt;&gt;"",VLOOKUP($B$33,MASTER_PROPERTY_TABLE,MATCH("H2A LHV (GJ/ H2A usage input unit)",key_MPTable,0),FALSE),"")</f>
        <v/>
      </c>
      <c r="F33" s="666" t="str">
        <f>IF('Cash Flow Analysis'!$C$133="","",'Cash Flow Analysis'!$C$133)</f>
        <v/>
      </c>
      <c r="G33" s="713" t="str">
        <f>IF($B$33&lt;&gt;"",VLOOKUP($B$33,MASTER_PROPERTY_TABLE,MATCH("H2A Usage Input Unit/ kg H2",key_MPTable,0),FALSE),"")</f>
        <v/>
      </c>
      <c r="H33" s="713" t="str">
        <f>IF($B$33="","",IF(VLOOKUP($B$33,MASTER_PROPERTY_TABLE,MATCH("Unit System",key_MPTable,0),FALSE)="English",mmBTU_to_GJ,1))</f>
        <v/>
      </c>
      <c r="I33" s="1227" t="str">
        <f>+'Cash Flow Analysis'!$C$233</f>
        <v/>
      </c>
    </row>
    <row r="34" spans="2:9" x14ac:dyDescent="0.25">
      <c r="B34" s="662" t="str">
        <f>IF('Cash Flow Analysis'!$D$131=0,"",'Cash Flow Analysis'!$D$131)</f>
        <v/>
      </c>
      <c r="C34" s="712" t="str">
        <f>IF($B$34="","",$E$34*$F$34*$H$34)</f>
        <v/>
      </c>
      <c r="D34" s="712" t="str">
        <f>IF($B34="","",$C34*1000*MJ_to_kWh)</f>
        <v/>
      </c>
      <c r="E34" s="666" t="str">
        <f>IF($B$34&lt;&gt;"",VLOOKUP($B$34,MASTER_PROPERTY_TABLE,MATCH("H2A LHV (GJ/ H2A usage input unit)",key_MPTable,0),FALSE),"")</f>
        <v/>
      </c>
      <c r="F34" s="666" t="str">
        <f>IF('Cash Flow Analysis'!$D$133="","",'Cash Flow Analysis'!$D$133)</f>
        <v/>
      </c>
      <c r="G34" s="713" t="str">
        <f>IF($B$34&lt;&gt;"",VLOOKUP($B$34,MASTER_PROPERTY_TABLE,MATCH("H2A Usage Input Unit/ kg H2",key_MPTable,0),FALSE),"")</f>
        <v/>
      </c>
      <c r="H34" s="713" t="str">
        <f>IF($B$34="","",IF(VLOOKUP($B$34,MASTER_PROPERTY_TABLE,MATCH("Unit System",key_MPTable,0),FALSE)="English",mmBTU_to_GJ,1))</f>
        <v/>
      </c>
      <c r="I34" s="1227" t="str">
        <f>+'Cash Flow Analysis'!$D$233</f>
        <v/>
      </c>
    </row>
    <row r="35" spans="2:9" ht="13" thickBot="1" x14ac:dyDescent="0.3">
      <c r="B35" s="715" t="str">
        <f>IF('Cash Flow Analysis'!$E$131=0,"",'Cash Flow Analysis'!$E$131)</f>
        <v/>
      </c>
      <c r="C35" s="716" t="str">
        <f>IF($B$35="","",$E$35*$F$35*$H$35)</f>
        <v/>
      </c>
      <c r="D35" s="716" t="str">
        <f>IF($B35="","",$C35*1000*MJ_to_kWh)</f>
        <v/>
      </c>
      <c r="E35" s="717" t="str">
        <f>IF($B$35&lt;&gt;"",VLOOKUP($B$35,MASTER_PROPERTY_TABLE,MATCH("H2A LHV (GJ/ H2A usage input unit)",key_MPTable,0),FALSE),"")</f>
        <v/>
      </c>
      <c r="F35" s="717" t="str">
        <f>IF('Cash Flow Analysis'!$E$133="","",'Cash Flow Analysis'!$E$133)</f>
        <v/>
      </c>
      <c r="G35" s="718" t="str">
        <f>IF($B$35&lt;&gt;"",VLOOKUP($B$35,MASTER_PROPERTY_TABLE,MATCH("H2A Usage Input Unit/ kg H2",key_MPTable,0),FALSE),"")</f>
        <v/>
      </c>
      <c r="H35" s="718" t="str">
        <f>IF($B$35="","",IF(VLOOKUP($B$35,MASTER_PROPERTY_TABLE,MATCH("Unit System",key_MPTable,0),FALSE)="English",mmBTU_to_GJ,1))</f>
        <v/>
      </c>
      <c r="I35" s="1228" t="str">
        <f>+'Cash Flow Analysis'!$E$233</f>
        <v/>
      </c>
    </row>
    <row r="36" spans="2:9" ht="14" x14ac:dyDescent="0.3">
      <c r="B36" s="719" t="s">
        <v>271</v>
      </c>
      <c r="C36" s="720"/>
      <c r="D36" s="720"/>
      <c r="E36" s="626"/>
      <c r="F36" s="626"/>
      <c r="G36" s="627"/>
      <c r="H36" s="627"/>
      <c r="I36" s="1229"/>
    </row>
    <row r="37" spans="2:9" x14ac:dyDescent="0.25">
      <c r="B37" s="662" t="str">
        <f>IF('Cash Flow Analysis'!$F$131=0,"",'Cash Flow Analysis'!$F$131)</f>
        <v>Industrial Electricity</v>
      </c>
      <c r="C37" s="712">
        <f ca="1">IF($B$37="","",$E$37*$F$37*$H$37)</f>
        <v>2.1599999999999996E-3</v>
      </c>
      <c r="D37" s="712">
        <f ca="1">IF($B37="","",$C37*1000*MJ_to_kWh)</f>
        <v>0.6</v>
      </c>
      <c r="E37" s="666">
        <f ca="1">IF($B37&lt;&gt;"",VLOOKUP($B37,MASTER_PROPERTY_TABLE,MATCH("H2A LHV (GJ/ H2A usage input unit)",key_MPTable,0),FALSE),"")</f>
        <v>3.5999999999999995E-3</v>
      </c>
      <c r="F37" s="666">
        <f ca="1">IF('Cash Flow Analysis'!$F$133="","",'Cash Flow Analysis'!$F$133)</f>
        <v>0.6</v>
      </c>
      <c r="G37" s="713" t="str">
        <f ca="1">IF($B$37&lt;&gt;"",VLOOKUP($B$37,MASTER_PROPERTY_TABLE,MATCH("H2A Usage Input Unit/ kg H2",key_MPTable,0),FALSE),"")</f>
        <v>kWh</v>
      </c>
      <c r="H37" s="713">
        <f ca="1">IF($B$37="","",IF(VLOOKUP($B$37,MASTER_PROPERTY_TABLE,MATCH("Unit System",key_MPTable,0),FALSE)="English",mmBTU_to_GJ,1))</f>
        <v>1</v>
      </c>
      <c r="I37" s="1227">
        <f ca="1">+'Cash Flow Analysis'!$F$233</f>
        <v>8.5311799867846899E-2</v>
      </c>
    </row>
    <row r="38" spans="2:9" x14ac:dyDescent="0.25">
      <c r="B38" s="662" t="str">
        <f>IF('Cash Flow Analysis'!$G$131=0,"",'Cash Flow Analysis'!$G$131)</f>
        <v/>
      </c>
      <c r="C38" s="712" t="str">
        <f>IF($B$38="","",$E$38*$F$38*$H$38)</f>
        <v/>
      </c>
      <c r="D38" s="712" t="str">
        <f>IF($B38="","",$C38*1000*MJ_to_kWh)</f>
        <v/>
      </c>
      <c r="E38" s="666" t="str">
        <f>IF($B38&lt;&gt;"",VLOOKUP($B38,MASTER_PROPERTY_TABLE,MATCH("H2A LHV (GJ/ H2A usage input unit)",key_MPTable,0),FALSE),"")</f>
        <v/>
      </c>
      <c r="F38" s="666" t="str">
        <f>IF('Cash Flow Analysis'!$G$133="","",'Cash Flow Analysis'!$G$133)</f>
        <v/>
      </c>
      <c r="G38" s="713" t="str">
        <f>IF($B$38&lt;&gt;"",VLOOKUP($B$38,MASTER_PROPERTY_TABLE,MATCH("H2A Usage Input Unit/ kg H2",key_MPTable,0),FALSE),"")</f>
        <v/>
      </c>
      <c r="H38" s="713" t="str">
        <f>IF($B$38="","",IF(VLOOKUP($B$38,MASTER_PROPERTY_TABLE,MATCH("Unit System",key_MPTable,0),FALSE)="English",mmBTU_to_GJ,1))</f>
        <v/>
      </c>
      <c r="I38" s="1227" t="str">
        <f>+'Cash Flow Analysis'!$G$233</f>
        <v/>
      </c>
    </row>
    <row r="39" spans="2:9" x14ac:dyDescent="0.25">
      <c r="B39" s="662" t="str">
        <f>IF('Cash Flow Analysis'!$H$131=0,"",'Cash Flow Analysis'!$H$131)</f>
        <v/>
      </c>
      <c r="C39" s="712" t="str">
        <f>IF($B$39="","",$E$39*$F$39*$H$39)</f>
        <v/>
      </c>
      <c r="D39" s="712" t="str">
        <f>IF($B39="","",$C39*1000*MJ_to_kWh)</f>
        <v/>
      </c>
      <c r="E39" s="666" t="str">
        <f>IF($B39&lt;&gt;"",VLOOKUP($B39,MASTER_PROPERTY_TABLE,MATCH("H2A LHV (GJ/ H2A usage input unit)",key_MPTable,0),FALSE),"")</f>
        <v/>
      </c>
      <c r="F39" s="666" t="str">
        <f>IF('Cash Flow Analysis'!$H$133="","",'Cash Flow Analysis'!$H$133)</f>
        <v/>
      </c>
      <c r="G39" s="713" t="str">
        <f>IF($B$39&lt;&gt;"",VLOOKUP($B$39,MASTER_PROPERTY_TABLE,MATCH("H2A Usage Input Unit/ kg H2",key_MPTable,0),FALSE),"")</f>
        <v/>
      </c>
      <c r="H39" s="713" t="str">
        <f>IF($B$39="","",IF(VLOOKUP($B$39,MASTER_PROPERTY_TABLE,MATCH("Unit System",key_MPTable,0),FALSE)="English",mmBTU_to_GJ,1))</f>
        <v/>
      </c>
      <c r="I39" s="1227" t="str">
        <f>+'Cash Flow Analysis'!$H$233</f>
        <v/>
      </c>
    </row>
    <row r="40" spans="2:9" ht="13" thickBot="1" x14ac:dyDescent="0.3">
      <c r="B40" s="715" t="str">
        <f>IF('Cash Flow Analysis'!$I$131=0,"",'Cash Flow Analysis'!$I$131)</f>
        <v/>
      </c>
      <c r="C40" s="716" t="str">
        <f>IF($B$40="","",$E$40*$F$40*$H$40)</f>
        <v/>
      </c>
      <c r="D40" s="716" t="str">
        <f>IF($B40="","",$C40*1000*MJ_to_kWh)</f>
        <v/>
      </c>
      <c r="E40" s="717" t="str">
        <f>IF($B40&lt;&gt;"",VLOOKUP($B40,MASTER_PROPERTY_TABLE,MATCH("H2A LHV (GJ/ H2A usage input unit)",key_MPTable,0),FALSE),"")</f>
        <v/>
      </c>
      <c r="F40" s="717" t="str">
        <f>IF('Cash Flow Analysis'!$I$133="","",'Cash Flow Analysis'!$I$133)</f>
        <v/>
      </c>
      <c r="G40" s="718" t="str">
        <f>IF($B$40&lt;&gt;"",VLOOKUP($B$40,MASTER_PROPERTY_TABLE,MATCH("H2A Usage Input Unit/ kg H2",key_MPTable,0),FALSE),"")</f>
        <v/>
      </c>
      <c r="H40" s="718" t="str">
        <f>IF($B$40="","",IF(VLOOKUP($B$40,MASTER_PROPERTY_TABLE,MATCH("Unit System",key_MPTable,0),FALSE)="English",mmBTU_to_GJ,1))</f>
        <v/>
      </c>
      <c r="I40" s="1228" t="str">
        <f>+'Cash Flow Analysis'!$I$233</f>
        <v/>
      </c>
    </row>
    <row r="41" spans="2:9" ht="14" x14ac:dyDescent="0.3">
      <c r="B41" s="719" t="s">
        <v>400</v>
      </c>
      <c r="C41" s="720"/>
      <c r="D41" s="720"/>
      <c r="E41" s="626"/>
      <c r="F41" s="626"/>
      <c r="G41" s="627"/>
      <c r="H41" s="627"/>
      <c r="I41" s="628"/>
    </row>
    <row r="42" spans="2:9" ht="13" thickBot="1" x14ac:dyDescent="0.3">
      <c r="B42" s="615" t="str">
        <f ca="1">IF('Cash Flow Analysis'!$J$131=0,"",'Cash Flow Analysis'!$J$131)</f>
        <v/>
      </c>
      <c r="C42" s="684" t="str">
        <f ca="1">IF($B$42="","",$E$42*$F$42*$H$42)</f>
        <v/>
      </c>
      <c r="D42" s="684" t="str">
        <f ca="1">IF($B42="","",$C42*1000*MJ_to_kWh)</f>
        <v/>
      </c>
      <c r="E42" s="625" t="str">
        <f ca="1">IF($B42&lt;&gt;"",VLOOKUP($B42,MASTER_PROPERTY_TABLE,MATCH("H2A LHV (GJ/ H2A usage input unit)",key_MPTable,0),FALSE),"")</f>
        <v/>
      </c>
      <c r="F42" s="625">
        <f ca="1">CO2_CashFlow_eUse</f>
        <v>0</v>
      </c>
      <c r="G42" s="623" t="str">
        <f ca="1">IF($B$42&lt;&gt;"",VLOOKUP($B$42,MASTER_PROPERTY_TABLE,MATCH("H2A Usage Input Unit/ kg H2",key_MPTable,0),FALSE),"")</f>
        <v/>
      </c>
      <c r="H42" s="623" t="str">
        <f ca="1">IF($B42="","",IF(VLOOKUP($B42,MASTER_PROPERTY_TABLE,MATCH("Unit System",key_MPTable,0),FALSE)="English",mmBTU_to_GJ,1))</f>
        <v/>
      </c>
      <c r="I42" s="624"/>
    </row>
    <row r="43" spans="2:9" ht="43" thickTop="1" thickBot="1" x14ac:dyDescent="0.35">
      <c r="B43" s="703"/>
      <c r="C43" s="704" t="s">
        <v>924</v>
      </c>
      <c r="D43" s="705" t="s">
        <v>1001</v>
      </c>
      <c r="E43" s="706" t="s">
        <v>708</v>
      </c>
      <c r="F43" s="704" t="s">
        <v>916</v>
      </c>
      <c r="G43" s="706" t="s">
        <v>917</v>
      </c>
      <c r="H43" s="706" t="s">
        <v>934</v>
      </c>
      <c r="I43" s="707"/>
    </row>
    <row r="44" spans="2:9" ht="13" x14ac:dyDescent="0.3">
      <c r="B44" s="616" t="s">
        <v>925</v>
      </c>
      <c r="C44" s="684">
        <f>kgH2_to_GJ</f>
        <v>0.12021163829516093</v>
      </c>
      <c r="D44" s="684">
        <f>IF($B44="","",$C44*1000*MJ_to_kWh)</f>
        <v>33.392121748655818</v>
      </c>
      <c r="E44" s="625">
        <f>kgH2_to_GJ</f>
        <v>0.12021163829516093</v>
      </c>
      <c r="F44" s="625">
        <v>1</v>
      </c>
      <c r="G44" s="623" t="s">
        <v>268</v>
      </c>
      <c r="H44" s="623">
        <v>1</v>
      </c>
      <c r="I44" s="624"/>
    </row>
    <row r="45" spans="2:9" ht="13.5" thickBot="1" x14ac:dyDescent="0.35">
      <c r="B45" s="616"/>
      <c r="C45" s="685"/>
      <c r="D45" s="685"/>
      <c r="E45" s="625"/>
      <c r="F45" s="625"/>
      <c r="G45" s="623"/>
      <c r="H45" s="623"/>
      <c r="I45" s="624"/>
    </row>
    <row r="46" spans="2:9" ht="14" x14ac:dyDescent="0.3">
      <c r="B46" s="719" t="s">
        <v>920</v>
      </c>
      <c r="C46" s="720"/>
      <c r="D46" s="720"/>
      <c r="E46" s="626"/>
      <c r="F46" s="626"/>
      <c r="G46" s="627"/>
      <c r="H46" s="627"/>
      <c r="I46" s="628"/>
    </row>
    <row r="47" spans="2:9" x14ac:dyDescent="0.25">
      <c r="B47" s="662" t="str">
        <f>IF('Cash Flow Analysis'!$K$131=0,"",'Cash Flow Analysis'!$K$131)</f>
        <v/>
      </c>
      <c r="C47" s="712" t="str">
        <f>IF($B$47="","",$E$47*$F$47*$H$47)</f>
        <v/>
      </c>
      <c r="D47" s="712" t="str">
        <f>IF($B47="","",$C47*1000*MJ_to_kWh)</f>
        <v/>
      </c>
      <c r="E47" s="666" t="str">
        <f>IF($B47&lt;&gt;"",VLOOKUP($B47,MASTER_PROPERTY_TABLE,MATCH("H2A LHV (GJ/ H2A usage input unit)",key_MPTable,0),FALSE),"")</f>
        <v/>
      </c>
      <c r="F47" s="666" t="str">
        <f>IF('Cash Flow Analysis'!$K$133="","",'Cash Flow Analysis'!$K$133)</f>
        <v/>
      </c>
      <c r="G47" s="713" t="str">
        <f>IF($B$47&lt;&gt;"",VLOOKUP($B$47,MASTER_PROPERTY_TABLE,MATCH("H2A Usage Input Unit/ kg H2",key_MPTable,0),FALSE),"")</f>
        <v/>
      </c>
      <c r="H47" s="713" t="str">
        <f>IF($B$47="","",IF(VLOOKUP($B$47,MASTER_PROPERTY_TABLE,MATCH("Unit System",key_MPTable,0),FALSE)="English",mmBTU_to_GJ,1))</f>
        <v/>
      </c>
      <c r="I47" s="714" t="str">
        <f>+'Cash Flow Analysis'!$K$233</f>
        <v/>
      </c>
    </row>
    <row r="48" spans="2:9" x14ac:dyDescent="0.25">
      <c r="B48" s="662" t="str">
        <f>IF('Cash Flow Analysis'!$L$131=0,"",'Cash Flow Analysis'!$L$131)</f>
        <v/>
      </c>
      <c r="C48" s="712" t="str">
        <f>IF($B$48="","",$E$48*$F$48*$H$48)</f>
        <v/>
      </c>
      <c r="D48" s="712" t="str">
        <f>IF($B48="","",$C48*1000*MJ_to_kWh)</f>
        <v/>
      </c>
      <c r="E48" s="666" t="str">
        <f>IF($B48&lt;&gt;"",VLOOKUP($B48,MASTER_PROPERTY_TABLE,MATCH("H2A LHV (GJ/ H2A usage input unit)",key_MPTable,0),FALSE),"")</f>
        <v/>
      </c>
      <c r="F48" s="666" t="str">
        <f>IF('Cash Flow Analysis'!$L$133="","",'Cash Flow Analysis'!$L$133)</f>
        <v/>
      </c>
      <c r="G48" s="713" t="str">
        <f>IF($B$48&lt;&gt;"",VLOOKUP($B$48,MASTER_PROPERTY_TABLE,MATCH("H2A Usage Input Unit/ kg H2",key_MPTable,0),FALSE),"")</f>
        <v/>
      </c>
      <c r="H48" s="713" t="str">
        <f>IF($B$48="","",IF(VLOOKUP($B$48,MASTER_PROPERTY_TABLE,MATCH("Unit System",key_MPTable,0),FALSE)="English",mmBTU_to_GJ,1))</f>
        <v/>
      </c>
      <c r="I48" s="714" t="str">
        <f>+'Cash Flow Analysis'!$L$233</f>
        <v/>
      </c>
    </row>
    <row r="49" spans="2:9" x14ac:dyDescent="0.25">
      <c r="B49" s="662" t="str">
        <f>IF('Cash Flow Analysis'!$M$131=0,"",'Cash Flow Analysis'!$M$131)</f>
        <v/>
      </c>
      <c r="C49" s="712" t="str">
        <f>IF($B$49="","",$E$49*$F$49*$H$49)</f>
        <v/>
      </c>
      <c r="D49" s="712" t="str">
        <f>IF($B49="","",$C49*1000*MJ_to_kWh)</f>
        <v/>
      </c>
      <c r="E49" s="666" t="str">
        <f>IF($B49&lt;&gt;"",VLOOKUP($B49,MASTER_PROPERTY_TABLE,MATCH("H2A LHV (GJ/ H2A usage input unit)",key_MPTable,0),FALSE),"")</f>
        <v/>
      </c>
      <c r="F49" s="666" t="str">
        <f>IF('Cash Flow Analysis'!$M$133="","",'Cash Flow Analysis'!$M$133)</f>
        <v/>
      </c>
      <c r="G49" s="713" t="str">
        <f>IF($B$49&lt;&gt;"",VLOOKUP($B$49,MASTER_PROPERTY_TABLE,MATCH("H2A Usage Input Unit/ kg H2",key_MPTable,0),FALSE),"")</f>
        <v/>
      </c>
      <c r="H49" s="713" t="str">
        <f>IF($B$49="","",IF(VLOOKUP($B$49,MASTER_PROPERTY_TABLE,MATCH("Unit System",key_MPTable,0),FALSE)="English",mmBTU_to_GJ,1))</f>
        <v/>
      </c>
      <c r="I49" s="714" t="str">
        <f>+'Cash Flow Analysis'!$M$233</f>
        <v/>
      </c>
    </row>
    <row r="50" spans="2:9" ht="13" thickBot="1" x14ac:dyDescent="0.3">
      <c r="B50" s="663" t="str">
        <f>IF('Cash Flow Analysis'!$N$131=0,"",'Cash Flow Analysis'!$N$131)</f>
        <v/>
      </c>
      <c r="C50" s="721" t="str">
        <f>IF($B$50="","",$E$50*$F$50*$H$50)</f>
        <v/>
      </c>
      <c r="D50" s="721" t="str">
        <f>IF($B50="","",$C50*1000*MJ_to_kWh)</f>
        <v/>
      </c>
      <c r="E50" s="677" t="str">
        <f>IF($B50&lt;&gt;"",VLOOKUP($B50,MASTER_PROPERTY_TABLE,MATCH("H2A LHV (GJ/ H2A usage input unit)",key_MPTable,0),FALSE),"")</f>
        <v/>
      </c>
      <c r="F50" s="677" t="str">
        <f>IF('Cash Flow Analysis'!$N$133="","",'Cash Flow Analysis'!$N$133)</f>
        <v/>
      </c>
      <c r="G50" s="722" t="str">
        <f>IF($B$50&lt;&gt;"",VLOOKUP($B$50,MASTER_PROPERTY_TABLE,MATCH("H2A Usage Input Unit/ kg H2",key_MPTable,0),FALSE),"")</f>
        <v/>
      </c>
      <c r="H50" s="722" t="str">
        <f>IF($B$50="","",IF(VLOOKUP($B$50,MASTER_PROPERTY_TABLE,MATCH("Unit System",key_MPTable,0),FALSE)="English",mmBTU_to_GJ,1))</f>
        <v/>
      </c>
      <c r="I50" s="723" t="str">
        <f>+'Cash Flow Analysis'!$N$233</f>
        <v/>
      </c>
    </row>
    <row r="51" spans="2:9" ht="13.5" thickTop="1" thickBot="1" x14ac:dyDescent="0.3"/>
    <row r="52" spans="2:9" ht="16" thickBot="1" x14ac:dyDescent="0.4">
      <c r="B52" s="1638" t="s">
        <v>394</v>
      </c>
      <c r="C52" s="1639"/>
      <c r="D52" s="312">
        <f ca="1">(C56+C57)/(C53+C54+C55)</f>
        <v>0.72095261062229188</v>
      </c>
      <c r="F52" s="28"/>
    </row>
    <row r="53" spans="2:9" ht="25" x14ac:dyDescent="0.25">
      <c r="B53" s="571" t="s">
        <v>597</v>
      </c>
      <c r="C53" s="572">
        <f ca="1">SUM(C32:C35)</f>
        <v>0.16457999999999998</v>
      </c>
      <c r="D53" s="573"/>
    </row>
    <row r="54" spans="2:9" x14ac:dyDescent="0.25">
      <c r="B54" s="574" t="s">
        <v>598</v>
      </c>
      <c r="C54" s="575">
        <f ca="1">SUM(C37:C40)</f>
        <v>2.1599999999999996E-3</v>
      </c>
      <c r="D54" s="576"/>
    </row>
    <row r="55" spans="2:9" ht="25" x14ac:dyDescent="0.25">
      <c r="B55" s="574" t="s">
        <v>395</v>
      </c>
      <c r="C55" s="575">
        <f ca="1">IF(C42="",0,C42)</f>
        <v>0</v>
      </c>
      <c r="D55" s="576"/>
    </row>
    <row r="56" spans="2:9" x14ac:dyDescent="0.25">
      <c r="B56" s="574" t="s">
        <v>599</v>
      </c>
      <c r="C56" s="575">
        <f>C44</f>
        <v>0.12021163829516093</v>
      </c>
      <c r="D56" s="576"/>
    </row>
    <row r="57" spans="2:9" ht="25.5" thickBot="1" x14ac:dyDescent="0.3">
      <c r="B57" s="577" t="s">
        <v>600</v>
      </c>
      <c r="C57" s="578">
        <f>SUM(C47:C50)</f>
        <v>0</v>
      </c>
      <c r="D57" s="579"/>
    </row>
    <row r="58" spans="2:9" ht="13" thickBot="1" x14ac:dyDescent="0.3"/>
    <row r="59" spans="2:9" ht="16.5" thickTop="1" thickBot="1" x14ac:dyDescent="0.4">
      <c r="B59" s="1626" t="s">
        <v>396</v>
      </c>
      <c r="C59" s="1627"/>
      <c r="D59" s="613"/>
      <c r="E59" s="632"/>
    </row>
    <row r="60" spans="2:9" ht="13" x14ac:dyDescent="0.3">
      <c r="B60" s="616" t="s">
        <v>248</v>
      </c>
      <c r="C60" s="580" t="s">
        <v>397</v>
      </c>
      <c r="D60" s="580" t="s">
        <v>398</v>
      </c>
      <c r="E60" s="633" t="s">
        <v>399</v>
      </c>
    </row>
    <row r="61" spans="2:9" x14ac:dyDescent="0.25">
      <c r="B61" s="615" t="str">
        <f>B32</f>
        <v>Industrial Natural Gas</v>
      </c>
      <c r="C61" s="680">
        <f ca="1">IF($B61="","",$C32/1000000*VLOOKUP($B61,Tbl_Emissions,3,FALSE))</f>
        <v>0.17972135999999997</v>
      </c>
      <c r="D61" s="680">
        <f ca="1">IF($B61="","",$C32/1000000*VLOOKUP($B61,Tbl_Emissions,4,FALSE))</f>
        <v>0.17972135999999997</v>
      </c>
      <c r="E61" s="681">
        <f ca="1">IF($B61="","",$C32/1000000*VLOOKUP($B61,Tbl_Emissions,5,FALSE))</f>
        <v>6.5363861333333324E-4</v>
      </c>
    </row>
    <row r="62" spans="2:9" x14ac:dyDescent="0.25">
      <c r="B62" s="615" t="str">
        <f>B33</f>
        <v/>
      </c>
      <c r="C62" s="680" t="str">
        <f>IF($B62="","",$C33/1000000*VLOOKUP($B62,Tbl_Emissions,3,FALSE))</f>
        <v/>
      </c>
      <c r="D62" s="680" t="str">
        <f>IF($B62="","",$C33/1000000*VLOOKUP($B62,Tbl_Emissions,4,FALSE))</f>
        <v/>
      </c>
      <c r="E62" s="681" t="str">
        <f>IF($B62="","",$C33/1000000*VLOOKUP($B62,Tbl_Emissions,5,FALSE))</f>
        <v/>
      </c>
    </row>
    <row r="63" spans="2:9" x14ac:dyDescent="0.25">
      <c r="B63" s="615" t="str">
        <f>B34</f>
        <v/>
      </c>
      <c r="C63" s="680" t="str">
        <f>IF($B63="","",$C34/1000000*VLOOKUP($B63,Tbl_Emissions,3,FALSE))</f>
        <v/>
      </c>
      <c r="D63" s="680" t="str">
        <f>IF($B63="","",$C34/1000000*VLOOKUP($B63,Tbl_Emissions,4,FALSE))</f>
        <v/>
      </c>
      <c r="E63" s="681" t="str">
        <f>IF($B63="","",$C34/1000000*VLOOKUP($B63,Tbl_Emissions,5,FALSE))</f>
        <v/>
      </c>
    </row>
    <row r="64" spans="2:9" x14ac:dyDescent="0.25">
      <c r="B64" s="615" t="str">
        <f>B35</f>
        <v/>
      </c>
      <c r="C64" s="680" t="str">
        <f>IF($B64="","",$C35/1000000*VLOOKUP($B64,Tbl_Emissions,3,FALSE))</f>
        <v/>
      </c>
      <c r="D64" s="680" t="str">
        <f>IF($B64="","",$C35/1000000*VLOOKUP($B64,Tbl_Emissions,4,FALSE))</f>
        <v/>
      </c>
      <c r="E64" s="681" t="str">
        <f>IF($B64="","",$C35/1000000*VLOOKUP($B64,Tbl_Emissions,5,FALSE))</f>
        <v/>
      </c>
    </row>
    <row r="65" spans="2:7" ht="13" x14ac:dyDescent="0.3">
      <c r="B65" s="616" t="s">
        <v>271</v>
      </c>
      <c r="C65" s="724"/>
      <c r="D65" s="724"/>
      <c r="E65" s="725"/>
    </row>
    <row r="66" spans="2:7" x14ac:dyDescent="0.25">
      <c r="B66" s="615" t="str">
        <f>B37</f>
        <v>Industrial Electricity</v>
      </c>
      <c r="C66" s="680">
        <f ca="1">IF($B66="","",$C37/1000000*VLOOKUP($B66,Tbl_Emissions,3,FALSE))</f>
        <v>3.720719999999999E-3</v>
      </c>
      <c r="D66" s="680">
        <f ca="1">IF($B66="","",$C37/1000000*VLOOKUP($B66,Tbl_Emissions,4,FALSE))</f>
        <v>2.7945599999999993E-3</v>
      </c>
      <c r="E66" s="681">
        <f ca="1">IF($B66="","",$C37/1000000*VLOOKUP($B66,Tbl_Emissions,5,FALSE))</f>
        <v>3.3179999999999991E-5</v>
      </c>
    </row>
    <row r="67" spans="2:7" x14ac:dyDescent="0.25">
      <c r="B67" s="615" t="str">
        <f>B38</f>
        <v/>
      </c>
      <c r="C67" s="680" t="str">
        <f>IF($B67="","",$C38/1000000*VLOOKUP($B67,Tbl_Emissions,3,FALSE))</f>
        <v/>
      </c>
      <c r="D67" s="680" t="str">
        <f>IF($B67="","",$C38/1000000*VLOOKUP($B67,Tbl_Emissions,4,FALSE))</f>
        <v/>
      </c>
      <c r="E67" s="681" t="str">
        <f>IF($B67="","",$C38/1000000*VLOOKUP($B67,Tbl_Emissions,5,FALSE))</f>
        <v/>
      </c>
    </row>
    <row r="68" spans="2:7" x14ac:dyDescent="0.25">
      <c r="B68" s="615" t="str">
        <f>B39</f>
        <v/>
      </c>
      <c r="C68" s="680" t="str">
        <f>IF($B68="","",$C39/1000000*VLOOKUP($B68,Tbl_Emissions,3,FALSE))</f>
        <v/>
      </c>
      <c r="D68" s="680" t="str">
        <f>IF($B68="","",$C39/1000000*VLOOKUP($B68,Tbl_Emissions,4,FALSE))</f>
        <v/>
      </c>
      <c r="E68" s="681" t="str">
        <f>IF($B68="","",$C39/1000000*VLOOKUP($B68,Tbl_Emissions,5,FALSE))</f>
        <v/>
      </c>
    </row>
    <row r="69" spans="2:7" x14ac:dyDescent="0.25">
      <c r="B69" s="615" t="str">
        <f>B40</f>
        <v/>
      </c>
      <c r="C69" s="680" t="str">
        <f>IF($B69="","",$C40/1000000*VLOOKUP($B69,Tbl_Emissions,3,FALSE))</f>
        <v/>
      </c>
      <c r="D69" s="680" t="str">
        <f>IF($B69="","",$C40/1000000*VLOOKUP($B69,Tbl_Emissions,4,FALSE))</f>
        <v/>
      </c>
      <c r="E69" s="681" t="str">
        <f>IF($B69="","",$C40/1000000*VLOOKUP($B69,Tbl_Emissions,5,FALSE))</f>
        <v/>
      </c>
    </row>
    <row r="70" spans="2:7" ht="13" x14ac:dyDescent="0.3">
      <c r="B70" s="726" t="s">
        <v>400</v>
      </c>
      <c r="C70" s="724"/>
      <c r="D70" s="724"/>
      <c r="E70" s="725"/>
    </row>
    <row r="71" spans="2:7" ht="13" thickBot="1" x14ac:dyDescent="0.3">
      <c r="B71" s="617" t="str">
        <f ca="1">B42</f>
        <v/>
      </c>
      <c r="C71" s="682" t="str">
        <f ca="1">IF($B71="","",$C42/1000000*VLOOKUP($B71,Tbl_Emissions,3,FALSE))</f>
        <v/>
      </c>
      <c r="D71" s="682" t="str">
        <f ca="1">IF($B71="","",$C42/1000000*VLOOKUP($B71,Tbl_Emissions,4,FALSE))</f>
        <v/>
      </c>
      <c r="E71" s="683" t="str">
        <f ca="1">IF($B71="","",$C42/1000000*VLOOKUP($B71,Tbl_Emissions,5,FALSE))</f>
        <v/>
      </c>
    </row>
    <row r="72" spans="2:7" ht="13" thickTop="1" x14ac:dyDescent="0.25"/>
    <row r="74" spans="2:7" ht="22" x14ac:dyDescent="0.65">
      <c r="B74" s="316" t="s">
        <v>401</v>
      </c>
    </row>
    <row r="75" spans="2:7" ht="13" thickBot="1" x14ac:dyDescent="0.3"/>
    <row r="76" spans="2:7" ht="16.5" thickTop="1" thickBot="1" x14ac:dyDescent="0.4">
      <c r="B76" s="686" t="s">
        <v>402</v>
      </c>
      <c r="C76" s="687"/>
      <c r="D76" s="688" t="s">
        <v>403</v>
      </c>
      <c r="E76" s="689" t="s">
        <v>404</v>
      </c>
      <c r="F76" s="689" t="s">
        <v>405</v>
      </c>
      <c r="G76" s="690" t="s">
        <v>406</v>
      </c>
    </row>
    <row r="77" spans="2:7" x14ac:dyDescent="0.25">
      <c r="B77" s="1630" t="s">
        <v>539</v>
      </c>
      <c r="C77" s="1631"/>
      <c r="D77" s="692">
        <f ca="1">C121</f>
        <v>1.2162707999999998</v>
      </c>
      <c r="E77" s="696">
        <f ca="1">D121</f>
        <v>3.082693404E-2</v>
      </c>
      <c r="F77" s="696">
        <f ca="1">E121</f>
        <v>1.455854133333333E-4</v>
      </c>
      <c r="G77" s="697">
        <f ca="1">F121</f>
        <v>2.0303286041733335</v>
      </c>
    </row>
    <row r="78" spans="2:7" x14ac:dyDescent="0.25">
      <c r="B78" s="1628" t="s">
        <v>538</v>
      </c>
      <c r="C78" s="1629"/>
      <c r="D78" s="693">
        <f ca="1">D89</f>
        <v>9.2683784333672445</v>
      </c>
      <c r="E78" s="698">
        <f ca="1">E89</f>
        <v>0</v>
      </c>
      <c r="F78" s="698">
        <f ca="1">F89</f>
        <v>0</v>
      </c>
      <c r="G78" s="699">
        <f ca="1">G89</f>
        <v>9.2683784333672445</v>
      </c>
    </row>
    <row r="79" spans="2:7" x14ac:dyDescent="0.25">
      <c r="B79" s="1628"/>
      <c r="C79" s="1629"/>
      <c r="D79" s="694"/>
      <c r="E79" s="525"/>
      <c r="F79" s="525"/>
      <c r="G79" s="700"/>
    </row>
    <row r="80" spans="2:7" ht="13" thickBot="1" x14ac:dyDescent="0.3">
      <c r="B80" s="1632" t="s">
        <v>540</v>
      </c>
      <c r="C80" s="1633"/>
      <c r="D80" s="695">
        <f ca="1">SUM(D77:D79)</f>
        <v>10.484649233367245</v>
      </c>
      <c r="E80" s="701">
        <f ca="1">SUM(E77:E79)</f>
        <v>3.082693404E-2</v>
      </c>
      <c r="F80" s="701">
        <f ca="1">SUM(F77:F79)</f>
        <v>1.455854133333333E-4</v>
      </c>
      <c r="G80" s="702">
        <f ca="1">SUM(G77:G79)</f>
        <v>11.298707037540577</v>
      </c>
    </row>
    <row r="81" spans="2:7" ht="13.5" thickTop="1" thickBot="1" x14ac:dyDescent="0.3"/>
    <row r="82" spans="2:7" ht="16.5" thickTop="1" thickBot="1" x14ac:dyDescent="0.4">
      <c r="B82" s="428" t="s">
        <v>535</v>
      </c>
      <c r="C82" s="429"/>
      <c r="D82" s="650" t="s">
        <v>403</v>
      </c>
      <c r="E82" s="651" t="s">
        <v>404</v>
      </c>
      <c r="F82" s="651" t="s">
        <v>405</v>
      </c>
      <c r="G82" s="652" t="s">
        <v>406</v>
      </c>
    </row>
    <row r="83" spans="2:7" x14ac:dyDescent="0.25">
      <c r="B83" s="1630" t="s">
        <v>235</v>
      </c>
      <c r="C83" s="1631"/>
      <c r="D83" s="653">
        <f ca="1">SUM(C95:C105)</f>
        <v>9.2683784333672445</v>
      </c>
      <c r="E83" s="653">
        <f ca="1">SUM(D95:D105)</f>
        <v>0</v>
      </c>
      <c r="F83" s="653">
        <f ca="1">SUM(E95:E105)</f>
        <v>0</v>
      </c>
      <c r="G83" s="654">
        <f ca="1">SUM(F95:F105)</f>
        <v>9.2683784333672445</v>
      </c>
    </row>
    <row r="84" spans="2:7" x14ac:dyDescent="0.25">
      <c r="B84" s="1628" t="s">
        <v>236</v>
      </c>
      <c r="C84" s="1629"/>
      <c r="D84" s="655">
        <f ca="1">ROUND(D83*output_kgyear/1000,-2)</f>
        <v>1155100</v>
      </c>
      <c r="E84" s="655">
        <f ca="1">ROUND(E83*output_kgyear/1000,-2)</f>
        <v>0</v>
      </c>
      <c r="F84" s="655">
        <f ca="1">ROUND(F83*output_kgyear/1000,-2)</f>
        <v>0</v>
      </c>
      <c r="G84" s="656">
        <f ca="1">ROUND(G83*output_kgyear/1000,-2)</f>
        <v>1155100</v>
      </c>
    </row>
    <row r="85" spans="2:7" x14ac:dyDescent="0.25">
      <c r="B85" s="1628" t="s">
        <v>237</v>
      </c>
      <c r="C85" s="1629"/>
      <c r="D85" s="657">
        <f ca="1">SUM(C95:C98)</f>
        <v>9.2683784333672445</v>
      </c>
      <c r="E85" s="657">
        <f ca="1">SUM(D95:D98)</f>
        <v>0</v>
      </c>
      <c r="F85" s="657">
        <f ca="1">SUM(E95:E98)</f>
        <v>0</v>
      </c>
      <c r="G85" s="658">
        <f ca="1">SUM(F95:F98)</f>
        <v>9.2683784333672445</v>
      </c>
    </row>
    <row r="86" spans="2:7" x14ac:dyDescent="0.25">
      <c r="B86" s="1628" t="s">
        <v>238</v>
      </c>
      <c r="C86" s="1629"/>
      <c r="D86" s="655">
        <f ca="1">ROUND(D85*output_kgyear/1000,-2)</f>
        <v>1155100</v>
      </c>
      <c r="E86" s="655">
        <f ca="1">ROUND(E85*output_kgyear/1000,-2)</f>
        <v>0</v>
      </c>
      <c r="F86" s="655">
        <f ca="1">ROUND(F85*output_kgyear/1000,-2)</f>
        <v>0</v>
      </c>
      <c r="G86" s="656">
        <f ca="1">ROUND(G85*output_kgyear/1000,-2)</f>
        <v>1155100</v>
      </c>
    </row>
    <row r="87" spans="2:7" x14ac:dyDescent="0.25">
      <c r="B87" s="774" t="s">
        <v>240</v>
      </c>
      <c r="C87" s="775"/>
      <c r="D87" s="824">
        <f ca="1">IF(CO2_CashFlow_eUse&gt;0,D85*CO2_Capture_Efficiency,0)</f>
        <v>0</v>
      </c>
      <c r="E87" s="655"/>
      <c r="F87" s="655"/>
      <c r="G87" s="825"/>
    </row>
    <row r="88" spans="2:7" x14ac:dyDescent="0.25">
      <c r="B88" s="1628" t="s">
        <v>241</v>
      </c>
      <c r="C88" s="1629"/>
      <c r="D88" s="655">
        <f ca="1">ROUND(D87*output_kgyear/1000,-2)</f>
        <v>0</v>
      </c>
      <c r="E88" s="655"/>
      <c r="F88" s="655"/>
      <c r="G88" s="656"/>
    </row>
    <row r="89" spans="2:7" x14ac:dyDescent="0.25">
      <c r="B89" s="1628" t="s">
        <v>239</v>
      </c>
      <c r="C89" s="1629"/>
      <c r="D89" s="824">
        <f ca="1">D83-D87</f>
        <v>9.2683784333672445</v>
      </c>
      <c r="E89" s="655">
        <f ca="1">E83-E87</f>
        <v>0</v>
      </c>
      <c r="F89" s="655">
        <f ca="1">F83-F87</f>
        <v>0</v>
      </c>
      <c r="G89" s="825">
        <f ca="1">D89*GHG_CO2_factor + E89*GHG_CH4_factor + F89*GHG_N2O_factor</f>
        <v>9.2683784333672445</v>
      </c>
    </row>
    <row r="90" spans="2:7" ht="13" thickBot="1" x14ac:dyDescent="0.3">
      <c r="B90" s="1632" t="s">
        <v>1059</v>
      </c>
      <c r="C90" s="1633"/>
      <c r="D90" s="659">
        <f ca="1">ROUND(D89*output_kgyear/1000,-2)</f>
        <v>1155100</v>
      </c>
      <c r="E90" s="659">
        <f ca="1">ROUND(E89*output_kgyear/1000,-2)</f>
        <v>0</v>
      </c>
      <c r="F90" s="659">
        <f ca="1">ROUND(F89*output_kgyear/1000,-2)</f>
        <v>0</v>
      </c>
      <c r="G90" s="660">
        <f ca="1">ROUND(G89*output_kgyear/1000,-2)</f>
        <v>1155100</v>
      </c>
    </row>
    <row r="91" spans="2:7" ht="13" thickTop="1" x14ac:dyDescent="0.25">
      <c r="B91" t="s">
        <v>242</v>
      </c>
    </row>
    <row r="92" spans="2:7" ht="13" thickBot="1" x14ac:dyDescent="0.3"/>
    <row r="93" spans="2:7" ht="16.5" thickTop="1" thickBot="1" x14ac:dyDescent="0.4">
      <c r="B93" s="1626" t="s">
        <v>536</v>
      </c>
      <c r="C93" s="1627"/>
      <c r="D93" s="613"/>
      <c r="E93" s="613"/>
      <c r="F93" s="632"/>
    </row>
    <row r="94" spans="2:7" ht="13" x14ac:dyDescent="0.3">
      <c r="B94" s="661" t="s">
        <v>248</v>
      </c>
      <c r="C94" s="664" t="s">
        <v>403</v>
      </c>
      <c r="D94" s="664" t="s">
        <v>404</v>
      </c>
      <c r="E94" s="664" t="s">
        <v>405</v>
      </c>
      <c r="F94" s="665" t="s">
        <v>406</v>
      </c>
    </row>
    <row r="95" spans="2:7" x14ac:dyDescent="0.25">
      <c r="B95" s="662" t="str">
        <f>B32</f>
        <v>Industrial Natural Gas</v>
      </c>
      <c r="C95" s="666">
        <f ca="1">IF($B95="","",VLOOKUP($B95,MASTER_PROPERTY_TABLE,MATCH("CO2 Emissions Factor (kg CO2 produced/GJ feed)",key_MPTable,0),FALSE)*$E32*$F32)</f>
        <v>9.2683784333672445</v>
      </c>
      <c r="D95" s="671">
        <f ca="1">IF($B95="","",VLOOKUP($B95,MASTER_PROPERTY_TABLE,MATCH("CH4 Emissions Factor (kg CH4 produced/GJ or mmBtu feed)",key_MPTable,0),FALSE)*$E32*$F32)</f>
        <v>0</v>
      </c>
      <c r="E95" s="671">
        <f ca="1">IF($B95="","",VLOOKUP($B95,MASTER_PROPERTY_TABLE,MATCH("N2O Emissions Factor (kg N2O produced/GJ or mmBtu feed)",key_MPTable,0),FALSE)*$E32*$F32)</f>
        <v>0</v>
      </c>
      <c r="F95" s="674">
        <f ca="1">IF($B95="","",$C95*GHG_CO2_factor+$D95*GHG_CH4_factor+$E95*GHG_N2O_factor)</f>
        <v>9.2683784333672445</v>
      </c>
    </row>
    <row r="96" spans="2:7" x14ac:dyDescent="0.25">
      <c r="B96" s="662" t="str">
        <f>B33</f>
        <v/>
      </c>
      <c r="C96" s="666" t="str">
        <f>IF($B96="","",VLOOKUP($B96,MASTER_PROPERTY_TABLE,MATCH("CO2 Emissions Factor (kg CO2 produced/GJ feed)",key_MPTable,0),FALSE)*$E33*$F33)</f>
        <v/>
      </c>
      <c r="D96" s="671" t="str">
        <f>IF($B96="","",VLOOKUP($B96,MASTER_PROPERTY_TABLE,MATCH("CH4 Emissions Factor (kg CH4 produced/GJ or mmBtu feed)",key_MPTable,0),FALSE)*$E33*$F33)</f>
        <v/>
      </c>
      <c r="E96" s="671" t="str">
        <f>IF($B96="","",VLOOKUP($B96,MASTER_PROPERTY_TABLE,MATCH("N2O Emissions Factor (kg N2O produced/GJ or mmBtu feed)",key_MPTable,0),FALSE)*$E33*$F33)</f>
        <v/>
      </c>
      <c r="F96" s="674" t="str">
        <f>IF($B96="","",$C96*GHG_CO2_factor+$D96*GHG_CH4_factor+$E96*GHG_N2O_factor)</f>
        <v/>
      </c>
    </row>
    <row r="97" spans="2:6" x14ac:dyDescent="0.25">
      <c r="B97" s="662" t="str">
        <f>B34</f>
        <v/>
      </c>
      <c r="C97" s="666" t="str">
        <f>IF($B97="","",VLOOKUP($B97,MASTER_PROPERTY_TABLE,MATCH("CO2 Emissions Factor (kg CO2 produced/GJ feed)",key_MPTable,0),FALSE)*$E34*$F34)</f>
        <v/>
      </c>
      <c r="D97" s="671" t="str">
        <f>IF($B97="","",VLOOKUP($B97,MASTER_PROPERTY_TABLE,MATCH("CH4 Emissions Factor (kg CH4 produced/GJ or mmBtu feed)",key_MPTable,0),FALSE)*$E34*$F34)</f>
        <v/>
      </c>
      <c r="E97" s="671" t="str">
        <f>IF($B97="","",VLOOKUP($B97,MASTER_PROPERTY_TABLE,MATCH("N2O Emissions Factor (kg N2O produced/GJ or mmBtu feed)",key_MPTable,0),FALSE)*$E34*$F34)</f>
        <v/>
      </c>
      <c r="F97" s="674" t="str">
        <f>IF($B97="","",$C97*GHG_CO2_factor+$D97*GHG_CH4_factor+$E97*GHG_N2O_factor)</f>
        <v/>
      </c>
    </row>
    <row r="98" spans="2:6" x14ac:dyDescent="0.25">
      <c r="B98" s="662" t="str">
        <f>B35</f>
        <v/>
      </c>
      <c r="C98" s="666" t="str">
        <f>IF($B98="","",VLOOKUP($B98,MASTER_PROPERTY_TABLE,MATCH("CO2 Emissions Factor (kg CO2 produced/GJ feed)",key_MPTable,0),FALSE)*$E35*$F35)</f>
        <v/>
      </c>
      <c r="D98" s="671" t="str">
        <f>IF($B98="","",VLOOKUP($B98,MASTER_PROPERTY_TABLE,MATCH("CH4 Emissions Factor (kg CH4 produced/GJ or mmBtu feed)",key_MPTable,0),FALSE)*$E35*$F35)</f>
        <v/>
      </c>
      <c r="E98" s="671" t="str">
        <f>IF($B98="","",VLOOKUP($B98,MASTER_PROPERTY_TABLE,MATCH("N2O Emissions Factor (kg N2O produced/GJ or mmBtu feed)",key_MPTable,0),FALSE)*$E35*$F35)</f>
        <v/>
      </c>
      <c r="F98" s="674" t="str">
        <f>IF($B98="","",$C98*GHG_CO2_factor+$D98*GHG_CH4_factor+$E98*GHG_N2O_factor)</f>
        <v/>
      </c>
    </row>
    <row r="99" spans="2:6" ht="13" x14ac:dyDescent="0.3">
      <c r="B99" s="727" t="s">
        <v>271</v>
      </c>
      <c r="C99" s="728"/>
      <c r="D99" s="729"/>
      <c r="E99" s="729"/>
      <c r="F99" s="730"/>
    </row>
    <row r="100" spans="2:6" x14ac:dyDescent="0.25">
      <c r="B100" s="662" t="str">
        <f>B37</f>
        <v>Industrial Electricity</v>
      </c>
      <c r="C100" s="666">
        <f ca="1">IF($B100="","",VLOOKUP($B100,MASTER_PROPERTY_TABLE,MATCH("CO2 Emissions Factor (kg CO2 produced/GJ feed)",key_MPTable,0),FALSE)*$E37*$F37)</f>
        <v>0</v>
      </c>
      <c r="D100" s="671">
        <f ca="1">IF($B100="","",VLOOKUP($B100,MASTER_PROPERTY_TABLE,MATCH("CH4 Emissions Factor (kg CH4 produced/GJ or mmBtu feed)",key_MPTable,0),FALSE)*$E37*$F37)</f>
        <v>0</v>
      </c>
      <c r="E100" s="671">
        <f ca="1">IF($B100="","",VLOOKUP($B100,MASTER_PROPERTY_TABLE,MATCH("N2O Emissions Factor (kg N2O produced/GJ or mmBtu feed)",key_MPTable,0),FALSE)*$E37*$F37)</f>
        <v>0</v>
      </c>
      <c r="F100" s="674">
        <f ca="1">IF($B100="","",$C100*GHG_CO2_factor+$D100*GHG_CH4_factor+$E100*GHG_N2O_factor)</f>
        <v>0</v>
      </c>
    </row>
    <row r="101" spans="2:6" x14ac:dyDescent="0.25">
      <c r="B101" s="662" t="str">
        <f>B38</f>
        <v/>
      </c>
      <c r="C101" s="666" t="str">
        <f>IF($B101="","",VLOOKUP($B101,MASTER_PROPERTY_TABLE,MATCH("CO2 Emissions Factor (kg CO2 produced/GJ feed)",key_MPTable,0),FALSE)*$E38*$F38)</f>
        <v/>
      </c>
      <c r="D101" s="671" t="str">
        <f>IF($B101="","",VLOOKUP($B101,MASTER_PROPERTY_TABLE,MATCH("CH4 Emissions Factor (kg CH4 produced/GJ or mmBtu feed)",key_MPTable,0),FALSE)*$E38*$F38)</f>
        <v/>
      </c>
      <c r="E101" s="671" t="str">
        <f>IF($B101="","",VLOOKUP($B101,MASTER_PROPERTY_TABLE,MATCH("N2O Emissions Factor (kg N2O produced/GJ or mmBtu feed)",key_MPTable,0),FALSE)*$E38*$F38)</f>
        <v/>
      </c>
      <c r="F101" s="674" t="str">
        <f>IF($B101="","",$C101*GHG_CO2_factor+$D101*GHG_CH4_factor+$E101*GHG_N2O_factor)</f>
        <v/>
      </c>
    </row>
    <row r="102" spans="2:6" x14ac:dyDescent="0.25">
      <c r="B102" s="662" t="str">
        <f>B39</f>
        <v/>
      </c>
      <c r="C102" s="666" t="str">
        <f>IF($B102="","",VLOOKUP($B102,MASTER_PROPERTY_TABLE,MATCH("CO2 Emissions Factor (kg CO2 produced/GJ feed)",key_MPTable,0),FALSE)*$E39*$F39)</f>
        <v/>
      </c>
      <c r="D102" s="671" t="str">
        <f>IF($B102="","",VLOOKUP($B102,MASTER_PROPERTY_TABLE,MATCH("CH4 Emissions Factor (kg CH4 produced/GJ or mmBtu feed)",key_MPTable,0),FALSE)*$E39*$F39)</f>
        <v/>
      </c>
      <c r="E102" s="671" t="str">
        <f>IF($B102="","",VLOOKUP($B102,MASTER_PROPERTY_TABLE,MATCH("N2O Emissions Factor (kg N2O produced/GJ or mmBtu feed)",key_MPTable,0),FALSE)*$E39*$F39)</f>
        <v/>
      </c>
      <c r="F102" s="674" t="str">
        <f>IF($B102="","",$C102*GHG_CO2_factor+$D102*GHG_CH4_factor+$E102*GHG_N2O_factor)</f>
        <v/>
      </c>
    </row>
    <row r="103" spans="2:6" x14ac:dyDescent="0.25">
      <c r="B103" s="662" t="str">
        <f>B40</f>
        <v/>
      </c>
      <c r="C103" s="666" t="str">
        <f>IF($B103="","",VLOOKUP($B103,MASTER_PROPERTY_TABLE,MATCH("CO2 Emissions Factor (kg CO2 produced/GJ feed)",key_MPTable,0),FALSE)*$E40*$F40)</f>
        <v/>
      </c>
      <c r="D103" s="671" t="str">
        <f>IF($B103="","",VLOOKUP($B103,MASTER_PROPERTY_TABLE,MATCH("CH4 Emissions Factor (kg CH4 produced/GJ or mmBtu feed)",key_MPTable,0),FALSE)*$E40*$F40)</f>
        <v/>
      </c>
      <c r="E103" s="671" t="str">
        <f>IF($B103="","",VLOOKUP($B103,MASTER_PROPERTY_TABLE,MATCH("N2O Emissions Factor (kg N2O produced/GJ or mmBtu feed)",key_MPTable,0),FALSE)*$E40*$F40)</f>
        <v/>
      </c>
      <c r="F103" s="674" t="str">
        <f>IF($B103="","",$C103*GHG_CO2_factor+$D103*GHG_CH4_factor+$E103*GHG_N2O_factor)</f>
        <v/>
      </c>
    </row>
    <row r="104" spans="2:6" ht="13" x14ac:dyDescent="0.3">
      <c r="B104" s="727" t="s">
        <v>400</v>
      </c>
      <c r="C104" s="728"/>
      <c r="D104" s="729"/>
      <c r="E104" s="729"/>
      <c r="F104" s="730"/>
    </row>
    <row r="105" spans="2:6" ht="13" thickBot="1" x14ac:dyDescent="0.3">
      <c r="B105" s="663" t="str">
        <f ca="1">B42</f>
        <v/>
      </c>
      <c r="C105" s="677" t="str">
        <f ca="1">IF($B105="","",VLOOKUP($B105,MASTER_PROPERTY_TABLE,MATCH("CO2 Emissions Factor (kg CO2 produced/GJ feed)",key_MPTable,0),FALSE)*$E42*$F42)</f>
        <v/>
      </c>
      <c r="D105" s="678" t="str">
        <f ca="1">IF($B105="","",VLOOKUP($B105,MASTER_PROPERTY_TABLE,MATCH("CH4 Emissions Factor (kg CH4 produced/GJ or mmBtu feed)",key_MPTable,0),FALSE)*$E42*$F42)</f>
        <v/>
      </c>
      <c r="E105" s="678" t="str">
        <f ca="1">IF($B105="","",VLOOKUP($B105,MASTER_PROPERTY_TABLE,MATCH("N2O Emissions Factor (kg N2O produced/GJ or mmBtu feed)",key_MPTable,0),FALSE)*$E42*$F42)</f>
        <v/>
      </c>
      <c r="F105" s="679" t="str">
        <f ca="1">IF($B105="","",$C105*GHG_CO2_factor+$D105*GHG_CH4_factor+$E105*GHG_N2O_factor)</f>
        <v/>
      </c>
    </row>
    <row r="106" spans="2:6" ht="13" thickTop="1" x14ac:dyDescent="0.25"/>
    <row r="107" spans="2:6" ht="13" thickBot="1" x14ac:dyDescent="0.3"/>
    <row r="108" spans="2:6" ht="16.5" thickTop="1" thickBot="1" x14ac:dyDescent="0.4">
      <c r="B108" s="1626" t="s">
        <v>1345</v>
      </c>
      <c r="C108" s="1627"/>
      <c r="D108" s="613"/>
      <c r="E108" s="613"/>
      <c r="F108" s="632"/>
    </row>
    <row r="109" spans="2:6" ht="13" x14ac:dyDescent="0.3">
      <c r="B109" s="661" t="s">
        <v>248</v>
      </c>
      <c r="C109" s="664" t="s">
        <v>403</v>
      </c>
      <c r="D109" s="664" t="s">
        <v>404</v>
      </c>
      <c r="E109" s="664" t="s">
        <v>405</v>
      </c>
      <c r="F109" s="665" t="s">
        <v>406</v>
      </c>
    </row>
    <row r="110" spans="2:6" x14ac:dyDescent="0.25">
      <c r="B110" s="662" t="str">
        <f>B32</f>
        <v>Industrial Natural Gas</v>
      </c>
      <c r="C110" s="666">
        <f ca="1">IF($B110="","",$C32*VLOOKUP($B110,Tbl_Emissions,6,FALSE))</f>
        <v>0.9446891999999999</v>
      </c>
      <c r="D110" s="671">
        <f ca="1">IF($B110="","",$C32*VLOOKUP($B110,Tbl_Emissions,7,FALSE))</f>
        <v>3.0385088760000002E-2</v>
      </c>
      <c r="E110" s="671">
        <f ca="1">IF($B110="","",$C32*VLOOKUP($B110,Tbl_Emissions,8,FALSE))</f>
        <v>1.4170703733333329E-4</v>
      </c>
      <c r="F110" s="674">
        <f ca="1">IF($B110="","",$C110*GHG_CO2_factor+$D110*GHG_CH4_factor+$E110*GHG_N2O_factor)</f>
        <v>1.7465451161253334</v>
      </c>
    </row>
    <row r="111" spans="2:6" x14ac:dyDescent="0.25">
      <c r="B111" s="662" t="str">
        <f>B33</f>
        <v/>
      </c>
      <c r="C111" s="666" t="str">
        <f>IF($B111="","",$C33*VLOOKUP($B111,Tbl_Emissions,6,FALSE))</f>
        <v/>
      </c>
      <c r="D111" s="671" t="str">
        <f>IF($B111="","",$C33*VLOOKUP($B111,Tbl_Emissions,7,FALSE))</f>
        <v/>
      </c>
      <c r="E111" s="671" t="str">
        <f>IF($B111="","",$C33*VLOOKUP($B111,Tbl_Emissions,8,FALSE))</f>
        <v/>
      </c>
      <c r="F111" s="674" t="str">
        <f>IF($B111="","",$C111*GHG_CO2_factor+$D111*GHG_CH4_factor+$E111*GHG_N2O_factor)</f>
        <v/>
      </c>
    </row>
    <row r="112" spans="2:6" x14ac:dyDescent="0.25">
      <c r="B112" s="662" t="str">
        <f>B34</f>
        <v/>
      </c>
      <c r="C112" s="666" t="str">
        <f>IF($B112="","",$C34*VLOOKUP($B112,Tbl_Emissions,6,FALSE))</f>
        <v/>
      </c>
      <c r="D112" s="671" t="str">
        <f>IF($B112="","",$C34*VLOOKUP($B112,Tbl_Emissions,7,FALSE))</f>
        <v/>
      </c>
      <c r="E112" s="671" t="str">
        <f>IF($B112="","",$C34*VLOOKUP($B112,Tbl_Emissions,8,FALSE))</f>
        <v/>
      </c>
      <c r="F112" s="674" t="str">
        <f>IF($B112="","",$C112*GHG_CO2_factor+$D112*GHG_CH4_factor+$E112*GHG_N2O_factor)</f>
        <v/>
      </c>
    </row>
    <row r="113" spans="2:6" x14ac:dyDescent="0.25">
      <c r="B113" s="662" t="str">
        <f>B35</f>
        <v/>
      </c>
      <c r="C113" s="666" t="str">
        <f>IF($B113="","",$C35*VLOOKUP($B113,Tbl_Emissions,6,FALSE))</f>
        <v/>
      </c>
      <c r="D113" s="671" t="str">
        <f>IF($B113="","",$C35*VLOOKUP($B113,Tbl_Emissions,7,FALSE))</f>
        <v/>
      </c>
      <c r="E113" s="671" t="str">
        <f>IF($B113="","",$C35*VLOOKUP($B113,Tbl_Emissions,8,FALSE))</f>
        <v/>
      </c>
      <c r="F113" s="674" t="str">
        <f>IF($B113="","",$C113*GHG_CO2_factor+$D113*GHG_CH4_factor+$E113*GHG_N2O_factor)</f>
        <v/>
      </c>
    </row>
    <row r="114" spans="2:6" ht="13" x14ac:dyDescent="0.3">
      <c r="B114" s="727" t="s">
        <v>271</v>
      </c>
      <c r="C114" s="728"/>
      <c r="D114" s="729"/>
      <c r="E114" s="729"/>
      <c r="F114" s="730"/>
    </row>
    <row r="115" spans="2:6" x14ac:dyDescent="0.25">
      <c r="B115" s="662" t="str">
        <f>B37</f>
        <v>Industrial Electricity</v>
      </c>
      <c r="C115" s="666">
        <f ca="1">IF($B115="","",$C37*VLOOKUP($B115,Tbl_Emissions,6,FALSE))</f>
        <v>0.27158159999999998</v>
      </c>
      <c r="D115" s="671">
        <f ca="1">IF($B115="","",$C37*VLOOKUP($B115,Tbl_Emissions,7,FALSE))</f>
        <v>4.4184527999999997E-4</v>
      </c>
      <c r="E115" s="671">
        <f ca="1">IF($B115="","",$C37*VLOOKUP($B115,Tbl_Emissions,8,FALSE))</f>
        <v>3.8783759999999993E-6</v>
      </c>
      <c r="F115" s="674">
        <f ca="1">IF($B115="","",$C115*GHG_CO2_factor+$D115*GHG_CH4_factor+$E115*GHG_N2O_factor)</f>
        <v>0.28378348804799997</v>
      </c>
    </row>
    <row r="116" spans="2:6" x14ac:dyDescent="0.25">
      <c r="B116" s="662" t="str">
        <f>B38</f>
        <v/>
      </c>
      <c r="C116" s="666" t="str">
        <f>IF($B116="","",$C38*VLOOKUP($B116,Tbl_Emissions,6,FALSE))</f>
        <v/>
      </c>
      <c r="D116" s="671" t="str">
        <f>IF($B116="","",$C38*VLOOKUP($B116,Tbl_Emissions,7,FALSE))</f>
        <v/>
      </c>
      <c r="E116" s="671" t="str">
        <f>IF($B116="","",$C38*VLOOKUP($B116,Tbl_Emissions,8,FALSE))</f>
        <v/>
      </c>
      <c r="F116" s="674" t="str">
        <f>IF($B116="","",$C116*GHG_CO2_factor+$D116*GHG_CH4_factor+$E116*GHG_N2O_factor)</f>
        <v/>
      </c>
    </row>
    <row r="117" spans="2:6" x14ac:dyDescent="0.25">
      <c r="B117" s="662" t="str">
        <f>B39</f>
        <v/>
      </c>
      <c r="C117" s="666" t="str">
        <f>IF($B117="","",$C39*VLOOKUP($B117,Tbl_Emissions,6,FALSE))</f>
        <v/>
      </c>
      <c r="D117" s="671" t="str">
        <f>IF($B117="","",$C39*VLOOKUP($B117,Tbl_Emissions,7,FALSE))</f>
        <v/>
      </c>
      <c r="E117" s="671" t="str">
        <f>IF($B117="","",$C39*VLOOKUP($B117,Tbl_Emissions,8,FALSE))</f>
        <v/>
      </c>
      <c r="F117" s="674" t="str">
        <f>IF($B117="","",$C117*GHG_CO2_factor+$D117*GHG_CH4_factor+$E117*GHG_N2O_factor)</f>
        <v/>
      </c>
    </row>
    <row r="118" spans="2:6" x14ac:dyDescent="0.25">
      <c r="B118" s="662" t="str">
        <f>B40</f>
        <v/>
      </c>
      <c r="C118" s="666" t="str">
        <f>IF($B118="","",$C40*VLOOKUP($B118,Tbl_Emissions,6,FALSE))</f>
        <v/>
      </c>
      <c r="D118" s="671" t="str">
        <f>IF($B118="","",$C40*VLOOKUP($B118,Tbl_Emissions,7,FALSE))</f>
        <v/>
      </c>
      <c r="E118" s="671" t="str">
        <f>IF($B118="","",$C40*VLOOKUP($B118,Tbl_Emissions,8,FALSE))</f>
        <v/>
      </c>
      <c r="F118" s="674" t="str">
        <f>IF($B118="","",$C118*GHG_CO2_factor+$D118*GHG_CH4_factor+$E118*GHG_N2O_factor)</f>
        <v/>
      </c>
    </row>
    <row r="119" spans="2:6" ht="13" x14ac:dyDescent="0.3">
      <c r="B119" s="727" t="s">
        <v>400</v>
      </c>
      <c r="C119" s="728"/>
      <c r="D119" s="729"/>
      <c r="E119" s="729"/>
      <c r="F119" s="730"/>
    </row>
    <row r="120" spans="2:6" ht="13" thickBot="1" x14ac:dyDescent="0.3">
      <c r="B120" s="667" t="str">
        <f ca="1">B42</f>
        <v/>
      </c>
      <c r="C120" s="669" t="str">
        <f ca="1">IF($B120="","",$C42*VLOOKUP($B120,Tbl_Emissions,6,FALSE))</f>
        <v/>
      </c>
      <c r="D120" s="672" t="str">
        <f ca="1">IF($B120="","",$C42*VLOOKUP($B120,Tbl_Emissions,7,FALSE))</f>
        <v/>
      </c>
      <c r="E120" s="672" t="str">
        <f ca="1">IF($B120="","",$C42*VLOOKUP($B120,Tbl_Emissions,8,FALSE))</f>
        <v/>
      </c>
      <c r="F120" s="675" t="str">
        <f ca="1">IF($B120="","",$C120*GHG_CO2_factor+$D120*GHG_CH4_factor+$E120*GHG_N2O_factor)</f>
        <v/>
      </c>
    </row>
    <row r="121" spans="2:6" ht="13.5" thickBot="1" x14ac:dyDescent="0.35">
      <c r="B121" s="668" t="s">
        <v>541</v>
      </c>
      <c r="C121" s="670">
        <f ca="1">SUM(C110:C120)</f>
        <v>1.2162707999999998</v>
      </c>
      <c r="D121" s="673">
        <f ca="1">SUM(D110:D120)</f>
        <v>3.082693404E-2</v>
      </c>
      <c r="E121" s="673">
        <f ca="1">SUM(E110:E120)</f>
        <v>1.455854133333333E-4</v>
      </c>
      <c r="F121" s="676">
        <f ca="1">SUM(F110:F120)</f>
        <v>2.0303286041733335</v>
      </c>
    </row>
    <row r="122" spans="2:6" ht="13" thickTop="1" x14ac:dyDescent="0.25"/>
  </sheetData>
  <mergeCells count="18">
    <mergeCell ref="F17:H17"/>
    <mergeCell ref="F23:H23"/>
    <mergeCell ref="B30:C30"/>
    <mergeCell ref="B52:C52"/>
    <mergeCell ref="B93:C93"/>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E42" sqref="E42"/>
    </sheetView>
  </sheetViews>
  <sheetFormatPr defaultRowHeight="12.5" x14ac:dyDescent="0.25"/>
  <cols>
    <col min="1" max="1" width="7.1796875" customWidth="1"/>
    <col min="2" max="2" width="35.54296875" customWidth="1"/>
    <col min="3" max="3" width="15.7265625" customWidth="1"/>
    <col min="4" max="6" width="20.7265625" customWidth="1"/>
    <col min="7" max="8" width="16.26953125" customWidth="1"/>
    <col min="9" max="9" width="16" bestFit="1" customWidth="1"/>
    <col min="10" max="15" width="12.26953125" customWidth="1"/>
    <col min="16" max="16" width="17.453125" bestFit="1" customWidth="1"/>
    <col min="17" max="22" width="12.26953125" customWidth="1"/>
    <col min="23" max="23" width="18.453125" customWidth="1"/>
    <col min="24" max="24" width="12.26953125" customWidth="1"/>
  </cols>
  <sheetData>
    <row r="1" spans="1:73" x14ac:dyDescent="0.25">
      <c r="A1" s="1096"/>
      <c r="B1" s="1096"/>
      <c r="C1" s="1097"/>
      <c r="D1" s="1096"/>
      <c r="E1" s="1096"/>
      <c r="F1" s="1097"/>
      <c r="G1" s="1097"/>
      <c r="H1" s="1096"/>
      <c r="I1" s="1096"/>
      <c r="J1" s="1096"/>
      <c r="K1" s="1096"/>
      <c r="L1" s="1096"/>
      <c r="M1" s="1096"/>
      <c r="N1" s="1096"/>
      <c r="O1" s="1096"/>
      <c r="P1" s="1096"/>
      <c r="Q1" s="1096"/>
      <c r="R1" s="1096"/>
      <c r="S1" s="1096"/>
      <c r="T1" s="1096"/>
      <c r="U1" s="1096"/>
      <c r="V1" s="1096"/>
      <c r="W1" s="1096"/>
      <c r="X1" s="1096"/>
      <c r="Y1" s="1096"/>
      <c r="Z1" s="1096"/>
      <c r="AA1" s="1096"/>
      <c r="AB1" s="1096"/>
      <c r="AC1" s="1096"/>
      <c r="AD1" s="1096"/>
      <c r="AE1" s="1096"/>
      <c r="AF1" s="1096"/>
      <c r="AG1" s="1096"/>
      <c r="AH1" s="1096"/>
      <c r="AI1" s="1096"/>
      <c r="AJ1" s="1096"/>
      <c r="AK1" s="1096"/>
      <c r="AL1" s="1096"/>
      <c r="AM1" s="1096"/>
      <c r="AN1" s="1096"/>
      <c r="AO1" s="1096"/>
      <c r="AP1" s="1096"/>
      <c r="AQ1" s="1096"/>
      <c r="AR1" s="1096"/>
      <c r="AS1" s="1096"/>
      <c r="AT1" s="1096"/>
      <c r="AU1" s="1096"/>
      <c r="AV1" s="1096"/>
      <c r="AW1" s="1096"/>
      <c r="AX1" s="1096"/>
      <c r="AY1" s="1096"/>
      <c r="AZ1" s="1096"/>
      <c r="BA1" s="1096"/>
      <c r="BB1" s="1096"/>
      <c r="BC1" s="1096"/>
      <c r="BD1" s="1096"/>
      <c r="BE1" s="1096"/>
      <c r="BF1" s="1096"/>
      <c r="BG1" s="1096"/>
      <c r="BH1" s="1096"/>
      <c r="BI1" s="1096"/>
      <c r="BJ1" s="1096"/>
      <c r="BK1" s="1096"/>
      <c r="BL1" s="1096"/>
      <c r="BM1" s="1096"/>
      <c r="BN1" s="1096"/>
      <c r="BO1" s="1096"/>
      <c r="BP1" s="1096"/>
      <c r="BQ1" s="1096"/>
      <c r="BR1" s="1096"/>
      <c r="BS1" s="1096"/>
      <c r="BT1" s="1096"/>
      <c r="BU1" s="1096"/>
    </row>
    <row r="2" spans="1:73" ht="26" x14ac:dyDescent="0.3">
      <c r="A2" s="1096"/>
      <c r="B2" s="1107" t="s">
        <v>1136</v>
      </c>
      <c r="C2" s="1107" t="s">
        <v>1135</v>
      </c>
      <c r="D2" s="1107" t="s">
        <v>1202</v>
      </c>
      <c r="E2" s="1107" t="s">
        <v>1203</v>
      </c>
      <c r="F2" s="1107" t="s">
        <v>1139</v>
      </c>
      <c r="G2" s="1107" t="s">
        <v>1140</v>
      </c>
      <c r="H2" s="1107" t="s">
        <v>1141</v>
      </c>
      <c r="I2" s="1107" t="s">
        <v>1142</v>
      </c>
      <c r="J2" s="1097"/>
      <c r="K2" s="1097"/>
      <c r="L2" s="1096"/>
      <c r="M2" s="1096"/>
      <c r="N2" s="1096"/>
      <c r="O2" s="1096"/>
      <c r="P2" s="1096"/>
      <c r="Q2" s="1096"/>
      <c r="R2" s="1096"/>
      <c r="S2" s="1096"/>
      <c r="T2" s="1096"/>
      <c r="U2" s="1096"/>
      <c r="V2" s="1096"/>
      <c r="W2" s="1096"/>
      <c r="X2" s="1096"/>
      <c r="Y2" s="1096"/>
      <c r="Z2" s="1096"/>
      <c r="AA2" s="1096"/>
      <c r="AB2" s="1096"/>
      <c r="AC2" s="1096"/>
      <c r="AD2" s="1096"/>
      <c r="AE2" s="1096"/>
      <c r="AF2" s="1096"/>
      <c r="AG2" s="1096"/>
      <c r="AH2" s="1096"/>
      <c r="AI2" s="1096"/>
      <c r="AJ2" s="1096"/>
      <c r="AK2" s="1096"/>
      <c r="AL2" s="1096"/>
      <c r="AM2" s="1096"/>
      <c r="AN2" s="1096"/>
      <c r="AO2" s="1096"/>
      <c r="AP2" s="1096"/>
      <c r="AQ2" s="1096"/>
      <c r="AR2" s="1096"/>
      <c r="AS2" s="1096"/>
      <c r="AT2" s="1096"/>
      <c r="AU2" s="1096"/>
      <c r="AV2" s="1096"/>
      <c r="AW2" s="1096"/>
      <c r="AX2" s="1096"/>
      <c r="AY2" s="1096"/>
      <c r="AZ2" s="1096"/>
      <c r="BA2" s="1096"/>
      <c r="BB2" s="1096"/>
      <c r="BC2" s="1096"/>
      <c r="BD2" s="1096"/>
      <c r="BE2" s="1096"/>
      <c r="BF2" s="1096"/>
      <c r="BG2" s="1096"/>
      <c r="BH2" s="1096"/>
      <c r="BI2" s="1096"/>
      <c r="BJ2" s="1096"/>
      <c r="BK2" s="1096"/>
      <c r="BL2" s="1096"/>
      <c r="BM2" s="1096"/>
      <c r="BN2" s="1096"/>
      <c r="BO2" s="1096"/>
      <c r="BP2" s="1096"/>
      <c r="BQ2" s="1096"/>
      <c r="BR2" s="1096"/>
      <c r="BS2" s="1096"/>
      <c r="BT2" s="1096"/>
      <c r="BU2" s="1096"/>
    </row>
    <row r="3" spans="1:73" x14ac:dyDescent="0.25">
      <c r="A3" s="1096"/>
      <c r="B3" s="1099" t="s">
        <v>1176</v>
      </c>
      <c r="C3" s="1103">
        <f ca="1">+cap_factor</f>
        <v>0.9</v>
      </c>
      <c r="D3" s="1102">
        <v>0.05</v>
      </c>
      <c r="E3" s="1102">
        <v>0.05</v>
      </c>
      <c r="F3" s="1112">
        <f>1+D3</f>
        <v>1.05</v>
      </c>
      <c r="G3" s="1109">
        <f>1-E3</f>
        <v>0.95</v>
      </c>
      <c r="H3" s="1101">
        <f t="shared" ref="H3:H9" ca="1" si="0">+C3*F3</f>
        <v>0.94500000000000006</v>
      </c>
      <c r="I3" s="1101">
        <f t="shared" ref="I3:I9" ca="1" si="1">+C3*G3</f>
        <v>0.85499999999999998</v>
      </c>
      <c r="J3" s="1450"/>
      <c r="K3" s="1450"/>
      <c r="L3" s="1096"/>
      <c r="M3" s="1096"/>
      <c r="N3" s="1096"/>
      <c r="O3" s="1096"/>
      <c r="P3" s="1096"/>
      <c r="Q3" s="1096"/>
      <c r="R3" s="1096"/>
      <c r="S3" s="1096"/>
      <c r="T3" s="1096"/>
      <c r="U3" s="1096"/>
      <c r="V3" s="1096"/>
      <c r="W3" s="1096"/>
      <c r="X3" s="1096"/>
      <c r="Y3" s="1096"/>
      <c r="Z3" s="1096"/>
      <c r="AA3" s="1096"/>
      <c r="AB3" s="1096"/>
      <c r="AC3" s="1096"/>
      <c r="AD3" s="1096"/>
      <c r="AE3" s="1096"/>
      <c r="AF3" s="1096"/>
      <c r="AG3" s="1096"/>
      <c r="AH3" s="1096"/>
      <c r="AI3" s="1096"/>
      <c r="AJ3" s="1096"/>
      <c r="AK3" s="1096"/>
      <c r="AL3" s="1096"/>
      <c r="AM3" s="1096"/>
      <c r="AN3" s="1096"/>
      <c r="AO3" s="1096"/>
      <c r="AP3" s="1096"/>
      <c r="AQ3" s="1096"/>
      <c r="AR3" s="1096"/>
      <c r="AS3" s="1096"/>
      <c r="AT3" s="1096"/>
      <c r="AU3" s="1096"/>
      <c r="AV3" s="1096"/>
      <c r="AW3" s="1096"/>
      <c r="AX3" s="1096"/>
      <c r="AY3" s="1096"/>
      <c r="AZ3" s="1096"/>
      <c r="BA3" s="1096"/>
      <c r="BB3" s="1096"/>
      <c r="BC3" s="1096"/>
      <c r="BD3" s="1096"/>
      <c r="BE3" s="1096"/>
      <c r="BF3" s="1096"/>
      <c r="BG3" s="1096"/>
      <c r="BH3" s="1096"/>
      <c r="BI3" s="1096"/>
      <c r="BJ3" s="1096"/>
      <c r="BK3" s="1096"/>
      <c r="BL3" s="1096"/>
      <c r="BM3" s="1096"/>
      <c r="BN3" s="1096"/>
      <c r="BO3" s="1096"/>
      <c r="BP3" s="1096"/>
      <c r="BQ3" s="1096"/>
      <c r="BR3" s="1096"/>
      <c r="BS3" s="1096"/>
      <c r="BT3" s="1096"/>
      <c r="BU3" s="1096"/>
    </row>
    <row r="4" spans="1:73" x14ac:dyDescent="0.25">
      <c r="A4" s="1096"/>
      <c r="B4" s="1099" t="str">
        <f>+Input_Sheet_Template!B26</f>
        <v>Plant Design Capacity (kg of H2/day)</v>
      </c>
      <c r="C4" s="1104">
        <f ca="1">+design_cap</f>
        <v>379387</v>
      </c>
      <c r="D4" s="1102">
        <v>0.05</v>
      </c>
      <c r="E4" s="1102">
        <v>0.05</v>
      </c>
      <c r="F4" s="1112">
        <f>1+D4</f>
        <v>1.05</v>
      </c>
      <c r="G4" s="1109">
        <f>1-E4</f>
        <v>0.95</v>
      </c>
      <c r="H4" s="1106">
        <f t="shared" ca="1" si="0"/>
        <v>398356.35000000003</v>
      </c>
      <c r="I4" s="1106">
        <f t="shared" ca="1" si="1"/>
        <v>360417.64999999997</v>
      </c>
      <c r="J4" s="1450"/>
      <c r="K4" s="1450"/>
      <c r="L4" s="1096"/>
      <c r="M4" s="1096"/>
      <c r="N4" s="1096"/>
      <c r="O4" s="1096"/>
      <c r="P4" s="1096"/>
      <c r="Q4" s="1096"/>
      <c r="R4" s="1096"/>
      <c r="S4" s="1096"/>
      <c r="T4" s="1096"/>
      <c r="U4" s="1096"/>
      <c r="V4" s="1096"/>
      <c r="W4" s="1096"/>
      <c r="X4" s="1096"/>
      <c r="Y4" s="1096"/>
      <c r="Z4" s="1096"/>
      <c r="AA4" s="1096"/>
      <c r="AB4" s="1096"/>
      <c r="AC4" s="1096"/>
      <c r="AD4" s="1096"/>
      <c r="AE4" s="1096"/>
      <c r="AF4" s="1096"/>
      <c r="AG4" s="1096"/>
      <c r="AH4" s="1096"/>
      <c r="AI4" s="1096"/>
      <c r="AJ4" s="1096"/>
      <c r="AK4" s="1096"/>
      <c r="AL4" s="1096"/>
      <c r="AM4" s="1096"/>
      <c r="AN4" s="1096"/>
      <c r="AO4" s="1096"/>
      <c r="AP4" s="1096"/>
      <c r="AQ4" s="1096"/>
      <c r="AR4" s="1096"/>
      <c r="AS4" s="1096"/>
      <c r="AT4" s="1096"/>
      <c r="AU4" s="1096"/>
      <c r="AV4" s="1096"/>
      <c r="AW4" s="1096"/>
      <c r="AX4" s="1096"/>
      <c r="AY4" s="1096"/>
      <c r="AZ4" s="1096"/>
      <c r="BA4" s="1096"/>
      <c r="BB4" s="1096"/>
      <c r="BC4" s="1096"/>
      <c r="BD4" s="1096"/>
      <c r="BE4" s="1096"/>
      <c r="BF4" s="1096"/>
      <c r="BG4" s="1096"/>
      <c r="BH4" s="1096"/>
      <c r="BI4" s="1096"/>
      <c r="BJ4" s="1096"/>
      <c r="BK4" s="1096"/>
      <c r="BL4" s="1096"/>
      <c r="BM4" s="1096"/>
      <c r="BN4" s="1096"/>
      <c r="BO4" s="1096"/>
      <c r="BP4" s="1096"/>
      <c r="BQ4" s="1096"/>
      <c r="BR4" s="1096"/>
      <c r="BS4" s="1096"/>
      <c r="BT4" s="1096"/>
      <c r="BU4" s="1096"/>
    </row>
    <row r="5" spans="1:73" x14ac:dyDescent="0.25">
      <c r="A5" s="1096"/>
      <c r="B5" s="1099" t="s">
        <v>1177</v>
      </c>
      <c r="C5" s="1103">
        <f ca="1">+real_irr</f>
        <v>0.08</v>
      </c>
      <c r="D5" s="1102">
        <v>0.05</v>
      </c>
      <c r="E5" s="1102">
        <v>0.05</v>
      </c>
      <c r="F5" s="1112">
        <f>1-D5</f>
        <v>0.95</v>
      </c>
      <c r="G5" s="1109">
        <f>1+E5</f>
        <v>1.05</v>
      </c>
      <c r="H5" s="1101">
        <f t="shared" ca="1" si="0"/>
        <v>7.5999999999999998E-2</v>
      </c>
      <c r="I5" s="1101">
        <f t="shared" ca="1" si="1"/>
        <v>8.4000000000000005E-2</v>
      </c>
      <c r="J5" s="1450"/>
      <c r="K5" s="1450"/>
      <c r="L5" s="1096"/>
      <c r="M5" s="1096"/>
      <c r="N5" s="1096"/>
      <c r="O5" s="1096"/>
      <c r="P5" s="1096"/>
      <c r="Q5" s="1096"/>
      <c r="R5" s="1096"/>
      <c r="S5" s="1096"/>
      <c r="T5" s="1096"/>
      <c r="U5" s="1096"/>
      <c r="V5" s="1096"/>
      <c r="W5" s="1096"/>
      <c r="X5" s="1096"/>
      <c r="Y5" s="1096"/>
      <c r="Z5" s="1096"/>
      <c r="AA5" s="1096"/>
      <c r="AB5" s="1096"/>
      <c r="AC5" s="1096"/>
      <c r="AD5" s="1096"/>
      <c r="AE5" s="1096"/>
      <c r="AF5" s="1096"/>
      <c r="AG5" s="1096"/>
      <c r="AH5" s="1096"/>
      <c r="AI5" s="1096"/>
      <c r="AJ5" s="1096"/>
      <c r="AK5" s="1096"/>
      <c r="AL5" s="1096"/>
      <c r="AM5" s="1096"/>
      <c r="AN5" s="1096"/>
      <c r="AO5" s="1096"/>
      <c r="AP5" s="1096"/>
      <c r="AQ5" s="1096"/>
      <c r="AR5" s="1096"/>
      <c r="AS5" s="1096"/>
      <c r="AT5" s="1096"/>
      <c r="AU5" s="1096"/>
      <c r="AV5" s="1096"/>
      <c r="AW5" s="1096"/>
      <c r="AX5" s="1096"/>
      <c r="AY5" s="1096"/>
      <c r="AZ5" s="1096"/>
      <c r="BA5" s="1096"/>
      <c r="BB5" s="1096"/>
      <c r="BC5" s="1096"/>
      <c r="BD5" s="1096"/>
      <c r="BE5" s="1096"/>
      <c r="BF5" s="1096"/>
      <c r="BG5" s="1096"/>
      <c r="BH5" s="1096"/>
      <c r="BI5" s="1096"/>
      <c r="BJ5" s="1096"/>
      <c r="BK5" s="1096"/>
      <c r="BL5" s="1096"/>
      <c r="BM5" s="1096"/>
      <c r="BN5" s="1096"/>
      <c r="BO5" s="1096"/>
      <c r="BP5" s="1096"/>
      <c r="BQ5" s="1096"/>
      <c r="BR5" s="1096"/>
      <c r="BS5" s="1096"/>
      <c r="BT5" s="1096"/>
      <c r="BU5" s="1096"/>
    </row>
    <row r="6" spans="1:73" x14ac:dyDescent="0.25">
      <c r="A6" s="1096"/>
      <c r="B6" s="1099" t="s">
        <v>1186</v>
      </c>
      <c r="C6" s="1199">
        <v>1</v>
      </c>
      <c r="D6" s="1102">
        <v>0.05</v>
      </c>
      <c r="E6" s="1102">
        <v>0.05</v>
      </c>
      <c r="F6" s="1112">
        <f>1-D6</f>
        <v>0.95</v>
      </c>
      <c r="G6" s="1109">
        <f t="shared" ref="G6:G9" si="2">1+E6</f>
        <v>1.05</v>
      </c>
      <c r="H6" s="1195">
        <f t="shared" si="0"/>
        <v>0.95</v>
      </c>
      <c r="I6" s="1195">
        <f t="shared" si="1"/>
        <v>1.05</v>
      </c>
      <c r="J6" s="1450"/>
      <c r="K6" s="1450"/>
      <c r="L6" s="1096"/>
      <c r="M6" s="1096"/>
      <c r="N6" s="1096"/>
      <c r="O6" s="1096"/>
      <c r="P6" s="1096"/>
      <c r="Q6" s="1096"/>
      <c r="R6" s="1096"/>
      <c r="S6" s="1096"/>
      <c r="T6" s="1096"/>
      <c r="U6" s="1096"/>
      <c r="V6" s="1096"/>
      <c r="W6" s="1096"/>
      <c r="X6" s="1096"/>
      <c r="Y6" s="1096"/>
      <c r="Z6" s="1096"/>
      <c r="AA6" s="1096"/>
      <c r="AB6" s="1096"/>
      <c r="AC6" s="1096"/>
      <c r="AD6" s="1096"/>
      <c r="AE6" s="1096"/>
      <c r="AF6" s="1096"/>
      <c r="AG6" s="1096"/>
      <c r="AH6" s="1096"/>
      <c r="AI6" s="1096"/>
      <c r="AJ6" s="1096"/>
      <c r="AK6" s="1096"/>
      <c r="AL6" s="1096"/>
      <c r="AM6" s="1096"/>
      <c r="AN6" s="1096"/>
      <c r="AO6" s="1096"/>
      <c r="AP6" s="1096"/>
      <c r="AQ6" s="1096"/>
      <c r="AR6" s="1096"/>
      <c r="AS6" s="1096"/>
      <c r="AT6" s="1096"/>
      <c r="AU6" s="1096"/>
      <c r="AV6" s="1096"/>
      <c r="AW6" s="1096"/>
      <c r="AX6" s="1096"/>
      <c r="AY6" s="1096"/>
      <c r="AZ6" s="1096"/>
      <c r="BA6" s="1096"/>
      <c r="BB6" s="1096"/>
      <c r="BC6" s="1096"/>
      <c r="BD6" s="1096"/>
      <c r="BE6" s="1096"/>
      <c r="BF6" s="1096"/>
      <c r="BG6" s="1096"/>
      <c r="BH6" s="1096"/>
      <c r="BI6" s="1096"/>
      <c r="BJ6" s="1096"/>
      <c r="BK6" s="1096"/>
      <c r="BL6" s="1096"/>
      <c r="BM6" s="1096"/>
      <c r="BN6" s="1096"/>
      <c r="BO6" s="1096"/>
      <c r="BP6" s="1096"/>
      <c r="BQ6" s="1096"/>
      <c r="BR6" s="1096"/>
      <c r="BS6" s="1096"/>
      <c r="BT6" s="1096"/>
      <c r="BU6" s="1096"/>
    </row>
    <row r="7" spans="1:73" x14ac:dyDescent="0.25">
      <c r="A7" s="1096"/>
      <c r="B7" s="1099" t="s">
        <v>1187</v>
      </c>
      <c r="C7" s="1199">
        <v>1</v>
      </c>
      <c r="D7" s="1102">
        <v>0.05</v>
      </c>
      <c r="E7" s="1102">
        <v>0.05</v>
      </c>
      <c r="F7" s="1112">
        <f>1-D7</f>
        <v>0.95</v>
      </c>
      <c r="G7" s="1109">
        <f t="shared" si="2"/>
        <v>1.05</v>
      </c>
      <c r="H7" s="1195">
        <f t="shared" si="0"/>
        <v>0.95</v>
      </c>
      <c r="I7" s="1195">
        <f t="shared" si="1"/>
        <v>1.05</v>
      </c>
      <c r="J7" s="1450"/>
      <c r="K7" s="1450"/>
      <c r="L7" s="1096"/>
      <c r="M7" s="1096"/>
      <c r="N7" s="1096"/>
      <c r="O7" s="1096"/>
      <c r="P7" s="1096"/>
      <c r="Q7" s="1096"/>
      <c r="R7" s="1096"/>
      <c r="S7" s="1096"/>
      <c r="T7" s="1096"/>
      <c r="U7" s="1096"/>
      <c r="V7" s="1096"/>
      <c r="W7" s="1096"/>
      <c r="X7" s="1096"/>
      <c r="Y7" s="1096"/>
      <c r="Z7" s="1096"/>
      <c r="AA7" s="1096"/>
      <c r="AB7" s="1096"/>
      <c r="AC7" s="1096"/>
      <c r="AD7" s="1096"/>
      <c r="AE7" s="1096"/>
      <c r="AF7" s="1096"/>
      <c r="AG7" s="1096"/>
      <c r="AH7" s="1096"/>
      <c r="AI7" s="1096"/>
      <c r="AJ7" s="1096"/>
      <c r="AK7" s="1096"/>
      <c r="AL7" s="1096"/>
      <c r="AM7" s="1096"/>
      <c r="AN7" s="1096"/>
      <c r="AO7" s="1096"/>
      <c r="AP7" s="1096"/>
      <c r="AQ7" s="1096"/>
      <c r="AR7" s="1096"/>
      <c r="AS7" s="1096"/>
      <c r="AT7" s="1096"/>
      <c r="AU7" s="1096"/>
      <c r="AV7" s="1096"/>
      <c r="AW7" s="1096"/>
      <c r="AX7" s="1096"/>
      <c r="AY7" s="1096"/>
      <c r="AZ7" s="1096"/>
      <c r="BA7" s="1096"/>
      <c r="BB7" s="1096"/>
      <c r="BC7" s="1096"/>
      <c r="BD7" s="1096"/>
      <c r="BE7" s="1096"/>
      <c r="BF7" s="1096"/>
      <c r="BG7" s="1096"/>
      <c r="BH7" s="1096"/>
      <c r="BI7" s="1096"/>
      <c r="BJ7" s="1096"/>
      <c r="BK7" s="1096"/>
      <c r="BL7" s="1096"/>
      <c r="BM7" s="1096"/>
      <c r="BN7" s="1096"/>
      <c r="BO7" s="1096"/>
      <c r="BP7" s="1096"/>
      <c r="BQ7" s="1096"/>
      <c r="BR7" s="1096"/>
      <c r="BS7" s="1096"/>
      <c r="BT7" s="1096"/>
      <c r="BU7" s="1096"/>
    </row>
    <row r="8" spans="1:73" x14ac:dyDescent="0.25">
      <c r="A8" s="1096"/>
      <c r="B8" s="1099" t="s">
        <v>117</v>
      </c>
      <c r="C8" s="1104">
        <f ca="1">+total_cap</f>
        <v>186511105.16343465</v>
      </c>
      <c r="D8" s="1102">
        <v>0.05</v>
      </c>
      <c r="E8" s="1102">
        <v>0.05</v>
      </c>
      <c r="F8" s="1112">
        <f>1-D8</f>
        <v>0.95</v>
      </c>
      <c r="G8" s="1109">
        <f t="shared" si="2"/>
        <v>1.05</v>
      </c>
      <c r="H8" s="1106">
        <f t="shared" ca="1" si="0"/>
        <v>177185549.90526292</v>
      </c>
      <c r="I8" s="1106">
        <f t="shared" ca="1" si="1"/>
        <v>195836660.42160639</v>
      </c>
      <c r="J8" s="1450"/>
      <c r="K8" s="1450"/>
      <c r="L8" s="1096"/>
      <c r="M8" s="1096"/>
      <c r="N8" s="1096"/>
      <c r="O8" s="1096"/>
      <c r="P8" s="1096"/>
      <c r="Q8" s="1096"/>
      <c r="R8" s="1096"/>
      <c r="S8" s="1096"/>
      <c r="T8" s="1096"/>
      <c r="U8" s="1096"/>
      <c r="V8" s="1096"/>
      <c r="W8" s="1096"/>
      <c r="X8" s="1096"/>
      <c r="Y8" s="1096"/>
      <c r="Z8" s="1096"/>
      <c r="AA8" s="1096"/>
      <c r="AB8" s="1096"/>
      <c r="AC8" s="1096"/>
      <c r="AD8" s="1096"/>
      <c r="AE8" s="1096"/>
      <c r="AF8" s="1096"/>
      <c r="AG8" s="1096"/>
      <c r="AH8" s="1096"/>
      <c r="AI8" s="1096"/>
      <c r="AJ8" s="1096"/>
      <c r="AK8" s="1096"/>
      <c r="AL8" s="1096"/>
      <c r="AM8" s="1096"/>
      <c r="AN8" s="1096"/>
      <c r="AO8" s="1096"/>
      <c r="AP8" s="1096"/>
      <c r="AQ8" s="1096"/>
      <c r="AR8" s="1096"/>
      <c r="AS8" s="1096"/>
      <c r="AT8" s="1096"/>
      <c r="AU8" s="1096"/>
      <c r="AV8" s="1096"/>
      <c r="AW8" s="1096"/>
      <c r="AX8" s="1096"/>
      <c r="AY8" s="1096"/>
      <c r="AZ8" s="1096"/>
      <c r="BA8" s="1096"/>
      <c r="BB8" s="1096"/>
      <c r="BC8" s="1096"/>
      <c r="BD8" s="1096"/>
      <c r="BE8" s="1096"/>
      <c r="BF8" s="1096"/>
      <c r="BG8" s="1096"/>
      <c r="BH8" s="1096"/>
      <c r="BI8" s="1096"/>
      <c r="BJ8" s="1096"/>
      <c r="BK8" s="1096"/>
      <c r="BL8" s="1096"/>
      <c r="BM8" s="1096"/>
      <c r="BN8" s="1096"/>
      <c r="BO8" s="1096"/>
      <c r="BP8" s="1096"/>
      <c r="BQ8" s="1096"/>
      <c r="BR8" s="1096"/>
      <c r="BS8" s="1096"/>
      <c r="BT8" s="1096"/>
      <c r="BU8" s="1096"/>
    </row>
    <row r="9" spans="1:73" x14ac:dyDescent="0.25">
      <c r="A9" s="1096"/>
      <c r="B9" s="1099" t="s">
        <v>634</v>
      </c>
      <c r="C9" s="1104">
        <f ca="1">+fixed</f>
        <v>7399368.537091447</v>
      </c>
      <c r="D9" s="1102">
        <v>0.05</v>
      </c>
      <c r="E9" s="1102">
        <v>0.05</v>
      </c>
      <c r="F9" s="1112">
        <f>1-D9</f>
        <v>0.95</v>
      </c>
      <c r="G9" s="1109">
        <f t="shared" si="2"/>
        <v>1.05</v>
      </c>
      <c r="H9" s="1106">
        <f t="shared" ca="1" si="0"/>
        <v>7029400.1102368748</v>
      </c>
      <c r="I9" s="1106">
        <f t="shared" ca="1" si="1"/>
        <v>7769336.9639460193</v>
      </c>
      <c r="J9" s="1450"/>
      <c r="K9" s="1450"/>
      <c r="L9" s="1096"/>
      <c r="M9" s="1096"/>
      <c r="N9" s="1096"/>
      <c r="O9" s="1096"/>
      <c r="P9" s="1096"/>
      <c r="Q9" s="1096"/>
      <c r="R9" s="1096"/>
      <c r="S9" s="1096"/>
      <c r="T9" s="1096"/>
      <c r="U9" s="1096"/>
      <c r="V9" s="1096"/>
      <c r="W9" s="1096"/>
      <c r="X9" s="1096"/>
      <c r="Y9" s="1096"/>
      <c r="Z9" s="1096"/>
      <c r="AA9" s="1096"/>
      <c r="AB9" s="1096"/>
      <c r="AC9" s="1096"/>
      <c r="AD9" s="1096"/>
      <c r="AE9" s="1096"/>
      <c r="AF9" s="1096"/>
      <c r="AG9" s="1096"/>
      <c r="AH9" s="1096"/>
      <c r="AI9" s="1096"/>
      <c r="AJ9" s="1096"/>
      <c r="AK9" s="1096"/>
      <c r="AL9" s="1096"/>
      <c r="AM9" s="1096"/>
      <c r="AN9" s="1096"/>
      <c r="AO9" s="1096"/>
      <c r="AP9" s="1096"/>
      <c r="AQ9" s="1096"/>
      <c r="AR9" s="1096"/>
      <c r="AS9" s="1096"/>
      <c r="AT9" s="1096"/>
      <c r="AU9" s="1096"/>
      <c r="AV9" s="1096"/>
      <c r="AW9" s="1096"/>
      <c r="AX9" s="1096"/>
      <c r="AY9" s="1096"/>
      <c r="AZ9" s="1096"/>
      <c r="BA9" s="1096"/>
      <c r="BB9" s="1096"/>
      <c r="BC9" s="1096"/>
      <c r="BD9" s="1096"/>
      <c r="BE9" s="1096"/>
      <c r="BF9" s="1096"/>
      <c r="BG9" s="1096"/>
      <c r="BH9" s="1096"/>
      <c r="BI9" s="1096"/>
      <c r="BJ9" s="1096"/>
      <c r="BK9" s="1096"/>
      <c r="BL9" s="1096"/>
      <c r="BM9" s="1096"/>
      <c r="BN9" s="1096"/>
      <c r="BO9" s="1096"/>
      <c r="BP9" s="1096"/>
      <c r="BQ9" s="1096"/>
      <c r="BR9" s="1096"/>
      <c r="BS9" s="1096"/>
      <c r="BT9" s="1096"/>
      <c r="BU9" s="1096"/>
    </row>
    <row r="10" spans="1:73" x14ac:dyDescent="0.25">
      <c r="A10" s="1096"/>
      <c r="B10" s="1096"/>
      <c r="C10" s="1096"/>
      <c r="D10" s="1096"/>
      <c r="E10" s="1096"/>
      <c r="F10" s="1096"/>
      <c r="G10" s="1096"/>
      <c r="H10" s="1096"/>
      <c r="I10" s="1096"/>
      <c r="J10" s="1096"/>
      <c r="K10" s="1096"/>
      <c r="L10" s="1096"/>
      <c r="M10" s="1096"/>
      <c r="N10" s="1096"/>
      <c r="O10" s="1096"/>
      <c r="P10" s="1096"/>
      <c r="Q10" s="1096"/>
      <c r="R10" s="1096"/>
      <c r="S10" s="1096"/>
      <c r="T10" s="1096"/>
      <c r="U10" s="1096"/>
      <c r="V10" s="1096"/>
      <c r="W10" s="1096"/>
      <c r="X10" s="1096"/>
      <c r="Y10" s="1096"/>
      <c r="Z10" s="1096"/>
      <c r="AA10" s="1096"/>
      <c r="AB10" s="1096"/>
      <c r="AC10" s="1096"/>
      <c r="AD10" s="1096"/>
      <c r="AE10" s="1096"/>
      <c r="AF10" s="1096"/>
      <c r="AG10" s="1096"/>
      <c r="AH10" s="1096"/>
      <c r="AI10" s="1096"/>
      <c r="AJ10" s="1096"/>
      <c r="AK10" s="1096"/>
      <c r="AL10" s="1096"/>
      <c r="AM10" s="1096"/>
      <c r="AN10" s="1096"/>
      <c r="AO10" s="1096"/>
      <c r="AP10" s="1096"/>
      <c r="AQ10" s="1096"/>
      <c r="AR10" s="1096"/>
      <c r="AS10" s="1096"/>
      <c r="AT10" s="1096"/>
      <c r="AU10" s="1096"/>
      <c r="AV10" s="1096"/>
      <c r="AW10" s="1096"/>
      <c r="AX10" s="1096"/>
      <c r="AY10" s="1096"/>
      <c r="AZ10" s="1096"/>
      <c r="BA10" s="1096"/>
      <c r="BB10" s="1096"/>
      <c r="BC10" s="1096"/>
      <c r="BD10" s="1096"/>
      <c r="BE10" s="1096"/>
      <c r="BF10" s="1096"/>
      <c r="BG10" s="1096"/>
      <c r="BH10" s="1096"/>
      <c r="BI10" s="1096"/>
      <c r="BJ10" s="1096"/>
      <c r="BK10" s="1096"/>
      <c r="BL10" s="1096"/>
      <c r="BM10" s="1096"/>
      <c r="BN10" s="1096"/>
      <c r="BO10" s="1096"/>
      <c r="BP10" s="1096"/>
      <c r="BQ10" s="1096"/>
      <c r="BR10" s="1096"/>
      <c r="BS10" s="1096"/>
      <c r="BT10" s="1096"/>
      <c r="BU10" s="1096"/>
    </row>
    <row r="11" spans="1:73" x14ac:dyDescent="0.25">
      <c r="A11" s="1096"/>
      <c r="B11" s="1640" t="s">
        <v>1303</v>
      </c>
      <c r="C11" s="1640"/>
      <c r="D11" s="1102" t="s">
        <v>23</v>
      </c>
      <c r="E11" s="1462" t="str">
        <f>IF(RunRiskAnalysis="Yes","          Please click Update Charts and Risk Analysis button before using results below","")</f>
        <v xml:space="preserve">          Please click Update Charts and Risk Analysis button before using results below</v>
      </c>
      <c r="F11" s="1096"/>
      <c r="H11" s="1096"/>
      <c r="I11" s="1096"/>
      <c r="J11" s="1096"/>
      <c r="K11" s="1096"/>
      <c r="L11" s="1096"/>
      <c r="M11" s="1096"/>
      <c r="N11" s="1096"/>
      <c r="O11" s="1096"/>
      <c r="P11" s="1096"/>
      <c r="Q11" s="1096"/>
      <c r="R11" s="1096"/>
      <c r="S11" s="1096"/>
      <c r="T11" s="1096"/>
      <c r="U11" s="1096"/>
      <c r="V11" s="1096"/>
      <c r="W11" s="1096"/>
      <c r="X11" s="1096"/>
      <c r="Y11" s="1096"/>
      <c r="Z11" s="1096"/>
      <c r="AA11" s="1096"/>
      <c r="AB11" s="1096"/>
      <c r="AC11" s="1096"/>
      <c r="AD11" s="1096"/>
      <c r="AE11" s="1096"/>
      <c r="AF11" s="1096"/>
      <c r="AG11" s="1096"/>
      <c r="AH11" s="1096"/>
      <c r="AI11" s="1096"/>
      <c r="AJ11" s="1096"/>
      <c r="AK11" s="1096"/>
      <c r="AL11" s="1096"/>
      <c r="AM11" s="1096"/>
      <c r="AN11" s="1096"/>
      <c r="AO11" s="1096"/>
      <c r="AP11" s="1096"/>
      <c r="AQ11" s="1096"/>
      <c r="AR11" s="1096"/>
      <c r="AS11" s="1096"/>
      <c r="AT11" s="1096"/>
      <c r="AU11" s="1096"/>
      <c r="AV11" s="1096"/>
      <c r="AW11" s="1096"/>
      <c r="AX11" s="1096"/>
      <c r="AY11" s="1096"/>
      <c r="AZ11" s="1096"/>
      <c r="BA11" s="1096"/>
      <c r="BB11" s="1096"/>
      <c r="BC11" s="1096"/>
      <c r="BD11" s="1096"/>
      <c r="BE11" s="1096"/>
      <c r="BF11" s="1096"/>
      <c r="BG11" s="1096"/>
      <c r="BH11" s="1096"/>
      <c r="BI11" s="1096"/>
      <c r="BJ11" s="1096"/>
      <c r="BK11" s="1096"/>
      <c r="BL11" s="1096"/>
      <c r="BM11" s="1096"/>
      <c r="BN11" s="1096"/>
      <c r="BO11" s="1096"/>
      <c r="BP11" s="1096"/>
      <c r="BQ11" s="1096"/>
      <c r="BR11" s="1096"/>
      <c r="BS11" s="1096"/>
      <c r="BT11" s="1096"/>
      <c r="BU11" s="1096"/>
    </row>
    <row r="12" spans="1:73" ht="12.75" customHeight="1" x14ac:dyDescent="0.25">
      <c r="A12" s="1096"/>
      <c r="B12" s="1096"/>
      <c r="C12" s="1096"/>
      <c r="D12" s="1096"/>
      <c r="E12" s="1096"/>
      <c r="F12" s="1096"/>
      <c r="G12" s="1096"/>
      <c r="H12" s="1096"/>
      <c r="I12" s="1096"/>
      <c r="J12" s="1096"/>
      <c r="K12" s="1096"/>
      <c r="L12" s="1096"/>
      <c r="M12" s="1096"/>
      <c r="N12" s="1096"/>
      <c r="P12" s="1640" t="s">
        <v>1321</v>
      </c>
      <c r="Q12" s="1640"/>
      <c r="R12" s="1641" t="s">
        <v>1344</v>
      </c>
      <c r="S12" s="1641"/>
      <c r="T12" s="1641"/>
      <c r="U12" s="1641"/>
      <c r="V12" s="1096"/>
      <c r="W12" s="1096"/>
      <c r="X12" s="1096"/>
      <c r="Y12" s="1096"/>
      <c r="Z12" s="1096"/>
      <c r="AA12" s="1096"/>
      <c r="AB12" s="1096"/>
      <c r="AC12" s="1096"/>
      <c r="AD12" s="1096"/>
      <c r="AE12" s="1096"/>
      <c r="AF12" s="1096"/>
      <c r="AG12" s="1096"/>
      <c r="AH12" s="1096"/>
      <c r="AI12" s="1096"/>
      <c r="AJ12" s="1096"/>
      <c r="AK12" s="1096"/>
      <c r="AL12" s="1096"/>
      <c r="AM12" s="1096"/>
      <c r="AN12" s="1096"/>
      <c r="AO12" s="1096"/>
      <c r="AP12" s="1096"/>
      <c r="AQ12" s="1096"/>
      <c r="AR12" s="1096"/>
      <c r="AS12" s="1096"/>
      <c r="AT12" s="1096"/>
      <c r="AU12" s="1096"/>
      <c r="AV12" s="1096"/>
      <c r="AW12" s="1096"/>
      <c r="AX12" s="1096"/>
      <c r="AY12" s="1096"/>
      <c r="AZ12" s="1096"/>
      <c r="BA12" s="1096"/>
      <c r="BB12" s="1096"/>
      <c r="BC12" s="1096"/>
      <c r="BD12" s="1096"/>
      <c r="BE12" s="1096"/>
      <c r="BF12" s="1096"/>
      <c r="BG12" s="1096"/>
      <c r="BH12" s="1096"/>
      <c r="BI12" s="1096"/>
      <c r="BJ12" s="1096"/>
      <c r="BK12" s="1096"/>
      <c r="BL12" s="1096"/>
      <c r="BM12" s="1096"/>
      <c r="BN12" s="1096"/>
      <c r="BO12" s="1096"/>
      <c r="BP12" s="1096"/>
      <c r="BQ12" s="1096"/>
      <c r="BR12" s="1096"/>
      <c r="BS12" s="1096"/>
      <c r="BT12" s="1096"/>
      <c r="BU12" s="1096"/>
    </row>
    <row r="13" spans="1:73" ht="13" x14ac:dyDescent="0.3">
      <c r="A13" s="1096"/>
      <c r="B13" s="1096"/>
      <c r="C13" s="1096"/>
      <c r="D13" s="1096"/>
      <c r="E13" s="1096"/>
      <c r="F13" s="1096"/>
      <c r="G13" s="1096"/>
      <c r="H13" s="1096"/>
      <c r="I13" s="1096"/>
      <c r="J13" s="1096"/>
      <c r="K13" s="1096"/>
      <c r="L13" s="1096"/>
      <c r="M13" s="1096"/>
      <c r="N13" s="1096"/>
      <c r="O13" s="1096"/>
      <c r="P13" s="1096"/>
      <c r="Q13" s="1096"/>
      <c r="R13" s="1096"/>
      <c r="S13" s="1096"/>
      <c r="T13" s="1096"/>
      <c r="U13" s="1096"/>
      <c r="V13" s="1107" t="s">
        <v>1307</v>
      </c>
      <c r="W13" s="1107" t="s">
        <v>1092</v>
      </c>
      <c r="X13" s="1096"/>
      <c r="Y13" s="1096"/>
      <c r="Z13" s="1096"/>
      <c r="AA13" s="1096"/>
      <c r="AB13" s="1096"/>
      <c r="AC13" s="1096"/>
      <c r="AD13" s="1096"/>
      <c r="AE13" s="1096"/>
      <c r="AF13" s="1096"/>
      <c r="AG13" s="1096"/>
      <c r="AH13" s="1096"/>
      <c r="AI13" s="1096"/>
      <c r="AJ13" s="1096"/>
      <c r="AK13" s="1096"/>
      <c r="AL13" s="1096"/>
      <c r="AM13" s="1096"/>
      <c r="AN13" s="1096"/>
      <c r="AO13" s="1096"/>
      <c r="AP13" s="1096"/>
      <c r="AQ13" s="1096"/>
      <c r="AR13" s="1096"/>
      <c r="AS13" s="1096"/>
      <c r="AT13" s="1096"/>
      <c r="AU13" s="1096"/>
      <c r="AV13" s="1096"/>
      <c r="AW13" s="1096"/>
      <c r="AX13" s="1096"/>
      <c r="AY13" s="1096"/>
      <c r="AZ13" s="1096"/>
      <c r="BA13" s="1096"/>
      <c r="BB13" s="1096"/>
      <c r="BC13" s="1096"/>
      <c r="BD13" s="1096"/>
      <c r="BE13" s="1096"/>
      <c r="BF13" s="1096"/>
      <c r="BG13" s="1096"/>
      <c r="BH13" s="1096"/>
      <c r="BI13" s="1096"/>
      <c r="BJ13" s="1096"/>
      <c r="BK13" s="1096"/>
      <c r="BL13" s="1096"/>
      <c r="BM13" s="1096"/>
      <c r="BN13" s="1096"/>
      <c r="BO13" s="1096"/>
      <c r="BP13" s="1096"/>
      <c r="BQ13" s="1096"/>
      <c r="BR13" s="1096"/>
      <c r="BS13" s="1096"/>
      <c r="BT13" s="1096"/>
      <c r="BU13" s="1096"/>
    </row>
    <row r="14" spans="1:73" x14ac:dyDescent="0.25">
      <c r="A14" s="1096"/>
      <c r="B14" s="1096"/>
      <c r="C14" s="1096"/>
      <c r="D14" s="1096"/>
      <c r="E14" s="1096"/>
      <c r="F14" s="1096"/>
      <c r="G14" s="1096"/>
      <c r="H14" s="1096"/>
      <c r="I14" s="1096"/>
      <c r="J14" s="1096"/>
      <c r="K14" s="1096"/>
      <c r="L14" s="1096"/>
      <c r="M14" s="1096"/>
      <c r="N14" s="1096"/>
      <c r="O14" s="1096"/>
      <c r="P14" s="1096"/>
      <c r="Q14" s="1096"/>
      <c r="R14" s="1096"/>
      <c r="S14" s="1096"/>
      <c r="T14" s="1096"/>
      <c r="U14" s="1096"/>
      <c r="V14" s="1109">
        <v>0</v>
      </c>
      <c r="W14" s="1110">
        <f ca="1">+MIN(OFFSET($B$251:$B$2250,0,$C$194))*$C$198</f>
        <v>1.255880932792556</v>
      </c>
      <c r="X14" s="1096"/>
      <c r="Y14" s="1096"/>
      <c r="Z14" s="1096"/>
      <c r="AA14" s="1096"/>
      <c r="AB14" s="1096"/>
      <c r="AC14" s="1096"/>
      <c r="AD14" s="1096"/>
      <c r="AE14" s="1096"/>
      <c r="AF14" s="1096"/>
      <c r="AG14" s="1096"/>
      <c r="AH14" s="1096"/>
      <c r="AI14" s="1096"/>
      <c r="AJ14" s="1096"/>
      <c r="AK14" s="1096"/>
      <c r="AL14" s="1096"/>
      <c r="AM14" s="1096"/>
      <c r="AN14" s="1096"/>
      <c r="AO14" s="1096"/>
      <c r="AP14" s="1096"/>
      <c r="AQ14" s="1096"/>
      <c r="AR14" s="1096"/>
      <c r="AS14" s="1096"/>
      <c r="AT14" s="1096"/>
      <c r="AU14" s="1096"/>
      <c r="AV14" s="1096"/>
      <c r="AW14" s="1096"/>
      <c r="AX14" s="1096"/>
      <c r="AY14" s="1096"/>
      <c r="AZ14" s="1096"/>
      <c r="BA14" s="1096"/>
      <c r="BB14" s="1096"/>
      <c r="BC14" s="1096"/>
      <c r="BD14" s="1096"/>
      <c r="BE14" s="1096"/>
      <c r="BF14" s="1096"/>
      <c r="BG14" s="1096"/>
      <c r="BH14" s="1096"/>
      <c r="BI14" s="1096"/>
      <c r="BJ14" s="1096"/>
      <c r="BK14" s="1096"/>
      <c r="BL14" s="1096"/>
      <c r="BM14" s="1096"/>
      <c r="BN14" s="1096"/>
      <c r="BO14" s="1096"/>
      <c r="BP14" s="1096"/>
      <c r="BQ14" s="1096"/>
      <c r="BR14" s="1096"/>
      <c r="BS14" s="1096"/>
      <c r="BT14" s="1096"/>
      <c r="BU14" s="1096"/>
    </row>
    <row r="15" spans="1:73" x14ac:dyDescent="0.25">
      <c r="A15" s="1096"/>
      <c r="B15" s="1096"/>
      <c r="C15" s="1096"/>
      <c r="D15" s="1096"/>
      <c r="E15" s="1096"/>
      <c r="F15" s="1096"/>
      <c r="G15" s="1096"/>
      <c r="H15" s="1096"/>
      <c r="I15" s="1096"/>
      <c r="J15" s="1096"/>
      <c r="K15" s="1096"/>
      <c r="L15" s="1096"/>
      <c r="M15" s="1096"/>
      <c r="N15" s="1096"/>
      <c r="O15" s="1096"/>
      <c r="P15" s="1096"/>
      <c r="Q15" s="1096"/>
      <c r="R15" s="1096"/>
      <c r="S15" s="1096"/>
      <c r="T15" s="1096"/>
      <c r="U15" s="1096"/>
      <c r="V15" s="1460">
        <v>0.05</v>
      </c>
      <c r="W15" s="1461">
        <f t="shared" ref="W15:W33" ca="1" si="3">+PERCENTILE(OFFSET($B$251:$B$2250,0,$C$194),V15)*$C$198</f>
        <v>1.278341569799387</v>
      </c>
      <c r="X15" s="1096"/>
      <c r="Y15" s="1096"/>
      <c r="Z15" s="1096"/>
      <c r="AA15" s="1096"/>
      <c r="AB15" s="1096"/>
      <c r="AC15" s="1096"/>
      <c r="AD15" s="1096"/>
      <c r="AE15" s="1096"/>
      <c r="AF15" s="1096"/>
      <c r="AG15" s="1096"/>
      <c r="AH15" s="1096"/>
      <c r="AI15" s="1096"/>
      <c r="AJ15" s="1096"/>
      <c r="AK15" s="1096"/>
      <c r="AL15" s="1096"/>
      <c r="AM15" s="1096"/>
      <c r="AN15" s="1096"/>
      <c r="AO15" s="1096"/>
      <c r="AP15" s="1096"/>
      <c r="AQ15" s="1096"/>
      <c r="AR15" s="1096"/>
      <c r="AS15" s="1096"/>
      <c r="AT15" s="1096"/>
      <c r="AU15" s="1096"/>
      <c r="AV15" s="1096"/>
      <c r="AW15" s="1096"/>
      <c r="AX15" s="1096"/>
      <c r="AY15" s="1096"/>
      <c r="AZ15" s="1096"/>
      <c r="BA15" s="1096"/>
      <c r="BB15" s="1096"/>
      <c r="BC15" s="1096"/>
      <c r="BD15" s="1096"/>
      <c r="BE15" s="1096"/>
      <c r="BF15" s="1096"/>
      <c r="BG15" s="1096"/>
      <c r="BH15" s="1096"/>
      <c r="BI15" s="1096"/>
      <c r="BJ15" s="1096"/>
      <c r="BK15" s="1096"/>
      <c r="BL15" s="1096"/>
      <c r="BM15" s="1096"/>
      <c r="BN15" s="1096"/>
      <c r="BO15" s="1096"/>
      <c r="BP15" s="1096"/>
      <c r="BQ15" s="1096"/>
      <c r="BR15" s="1096"/>
      <c r="BS15" s="1096"/>
      <c r="BT15" s="1096"/>
      <c r="BU15" s="1096"/>
    </row>
    <row r="16" spans="1:73" x14ac:dyDescent="0.25">
      <c r="A16" s="1096"/>
      <c r="B16" s="1097"/>
      <c r="C16" s="1096"/>
      <c r="D16" s="1096"/>
      <c r="E16" s="1096"/>
      <c r="F16" s="1096"/>
      <c r="G16" s="1096"/>
      <c r="H16" s="1096"/>
      <c r="I16" s="1096"/>
      <c r="J16" s="1096"/>
      <c r="K16" s="1096"/>
      <c r="L16" s="1096"/>
      <c r="M16" s="1096"/>
      <c r="N16" s="1096"/>
      <c r="O16" s="1096"/>
      <c r="P16" s="1096"/>
      <c r="Q16" s="1096"/>
      <c r="R16" s="1096"/>
      <c r="S16" s="1096"/>
      <c r="T16" s="1096"/>
      <c r="U16" s="1096"/>
      <c r="V16" s="1459">
        <f t="shared" ref="V16:V33" si="4">+V15+0.05</f>
        <v>0.1</v>
      </c>
      <c r="W16" s="1110">
        <f t="shared" ca="1" si="3"/>
        <v>1.2857789050794692</v>
      </c>
      <c r="X16" s="1096"/>
      <c r="Y16" s="1096"/>
      <c r="Z16" s="1096"/>
      <c r="AA16" s="1096"/>
      <c r="AB16" s="1096"/>
      <c r="AC16" s="1096"/>
      <c r="AD16" s="1096"/>
      <c r="AE16" s="1096"/>
      <c r="AF16" s="1096"/>
      <c r="AG16" s="1096"/>
      <c r="AH16" s="1096"/>
      <c r="AI16" s="1096"/>
      <c r="AJ16" s="1096"/>
      <c r="AK16" s="1096"/>
      <c r="AL16" s="1096"/>
      <c r="AM16" s="1096"/>
      <c r="AN16" s="1096"/>
      <c r="AO16" s="1096"/>
      <c r="AP16" s="1096"/>
      <c r="AQ16" s="1096"/>
      <c r="AR16" s="1096"/>
      <c r="AS16" s="1096"/>
      <c r="AT16" s="1096"/>
      <c r="AU16" s="1096"/>
      <c r="AV16" s="1096"/>
      <c r="AW16" s="1096"/>
      <c r="AX16" s="1096"/>
      <c r="AY16" s="1096"/>
      <c r="AZ16" s="1096"/>
      <c r="BA16" s="1096"/>
      <c r="BB16" s="1096"/>
      <c r="BC16" s="1096"/>
      <c r="BD16" s="1096"/>
      <c r="BE16" s="1096"/>
      <c r="BF16" s="1096"/>
      <c r="BG16" s="1096"/>
      <c r="BH16" s="1096"/>
      <c r="BI16" s="1096"/>
      <c r="BJ16" s="1096"/>
      <c r="BK16" s="1096"/>
      <c r="BL16" s="1096"/>
      <c r="BM16" s="1096"/>
      <c r="BN16" s="1096"/>
      <c r="BO16" s="1096"/>
      <c r="BP16" s="1096"/>
      <c r="BQ16" s="1096"/>
      <c r="BR16" s="1096"/>
      <c r="BS16" s="1096"/>
      <c r="BT16" s="1096"/>
      <c r="BU16" s="1096"/>
    </row>
    <row r="17" spans="1:73" x14ac:dyDescent="0.25">
      <c r="A17" s="1096"/>
      <c r="B17" s="1096"/>
      <c r="C17" s="1096"/>
      <c r="D17" s="1096"/>
      <c r="E17" s="1096"/>
      <c r="F17" s="1096"/>
      <c r="G17" s="1096"/>
      <c r="H17" s="1096"/>
      <c r="I17" s="1096"/>
      <c r="J17" s="1096"/>
      <c r="K17" s="1096"/>
      <c r="L17" s="1096"/>
      <c r="M17" s="1096"/>
      <c r="N17" s="1096"/>
      <c r="O17" s="1096"/>
      <c r="P17" s="1096"/>
      <c r="Q17" s="1096"/>
      <c r="R17" s="1096"/>
      <c r="S17" s="1096"/>
      <c r="T17" s="1096"/>
      <c r="U17" s="1096"/>
      <c r="V17" s="1459">
        <f t="shared" si="4"/>
        <v>0.15000000000000002</v>
      </c>
      <c r="W17" s="1110">
        <f t="shared" ca="1" si="3"/>
        <v>1.2904741907533348</v>
      </c>
      <c r="X17" s="1096"/>
      <c r="Y17" s="1096"/>
      <c r="Z17" s="1096"/>
      <c r="AA17" s="1096"/>
      <c r="AB17" s="1096"/>
      <c r="AC17" s="1096"/>
      <c r="AD17" s="1096"/>
      <c r="AE17" s="1096"/>
      <c r="AF17" s="1096"/>
      <c r="AG17" s="1096"/>
      <c r="AH17" s="1096"/>
      <c r="AI17" s="1096"/>
      <c r="AJ17" s="1096"/>
      <c r="AK17" s="1096"/>
      <c r="AL17" s="1096"/>
      <c r="AM17" s="1096"/>
      <c r="AN17" s="1096"/>
      <c r="AO17" s="1096"/>
      <c r="AP17" s="1096"/>
      <c r="AQ17" s="1096"/>
      <c r="AR17" s="1096"/>
      <c r="AS17" s="1096"/>
      <c r="AT17" s="1096"/>
      <c r="AU17" s="1096"/>
      <c r="AV17" s="1096"/>
      <c r="AW17" s="1096"/>
      <c r="AX17" s="1096"/>
      <c r="AY17" s="1096"/>
      <c r="AZ17" s="1096"/>
      <c r="BA17" s="1096"/>
      <c r="BB17" s="1096"/>
      <c r="BC17" s="1096"/>
      <c r="BD17" s="1096"/>
      <c r="BE17" s="1096"/>
      <c r="BF17" s="1096"/>
      <c r="BG17" s="1096"/>
      <c r="BH17" s="1096"/>
      <c r="BI17" s="1096"/>
      <c r="BJ17" s="1096"/>
      <c r="BK17" s="1096"/>
      <c r="BL17" s="1096"/>
      <c r="BM17" s="1096"/>
      <c r="BN17" s="1096"/>
      <c r="BO17" s="1096"/>
      <c r="BP17" s="1096"/>
      <c r="BQ17" s="1096"/>
      <c r="BR17" s="1096"/>
      <c r="BS17" s="1096"/>
      <c r="BT17" s="1096"/>
      <c r="BU17" s="1096"/>
    </row>
    <row r="18" spans="1:73" x14ac:dyDescent="0.25">
      <c r="A18" s="1096"/>
      <c r="B18" s="1096"/>
      <c r="C18" s="1096"/>
      <c r="D18" s="1096"/>
      <c r="E18" s="1096"/>
      <c r="F18" s="1096"/>
      <c r="G18" s="1096"/>
      <c r="H18" s="1096"/>
      <c r="I18" s="1096"/>
      <c r="J18" s="1096"/>
      <c r="K18" s="1096"/>
      <c r="L18" s="1096"/>
      <c r="M18" s="1096"/>
      <c r="N18" s="1096"/>
      <c r="O18" s="1096"/>
      <c r="P18" s="1096"/>
      <c r="Q18" s="1096"/>
      <c r="R18" s="1096"/>
      <c r="S18" s="1096"/>
      <c r="T18" s="1096"/>
      <c r="U18" s="1096"/>
      <c r="V18" s="1459">
        <f t="shared" si="4"/>
        <v>0.2</v>
      </c>
      <c r="W18" s="1110">
        <f t="shared" ca="1" si="3"/>
        <v>1.2954696052165293</v>
      </c>
      <c r="X18" s="1096"/>
      <c r="Y18" s="1096"/>
      <c r="Z18" s="1096"/>
      <c r="AA18" s="1096"/>
      <c r="AB18" s="1096"/>
      <c r="AC18" s="1096"/>
      <c r="AD18" s="1096"/>
      <c r="AE18" s="1096"/>
      <c r="AF18" s="1096"/>
      <c r="AG18" s="1096"/>
      <c r="AH18" s="1096"/>
      <c r="AI18" s="1096"/>
      <c r="AJ18" s="1096"/>
      <c r="AK18" s="1096"/>
      <c r="AL18" s="1096"/>
      <c r="AM18" s="1096"/>
      <c r="AN18" s="1096"/>
      <c r="AO18" s="1096"/>
      <c r="AP18" s="1096"/>
      <c r="AQ18" s="1096"/>
      <c r="AR18" s="1096"/>
      <c r="AS18" s="1096"/>
      <c r="AT18" s="1096"/>
      <c r="AU18" s="1096"/>
      <c r="AV18" s="1096"/>
      <c r="AW18" s="1096"/>
      <c r="AX18" s="1096"/>
      <c r="AY18" s="1096"/>
      <c r="AZ18" s="1096"/>
      <c r="BA18" s="1096"/>
      <c r="BB18" s="1096"/>
      <c r="BC18" s="1096"/>
      <c r="BD18" s="1096"/>
      <c r="BE18" s="1096"/>
      <c r="BF18" s="1096"/>
      <c r="BG18" s="1096"/>
      <c r="BH18" s="1096"/>
      <c r="BI18" s="1096"/>
      <c r="BJ18" s="1096"/>
      <c r="BK18" s="1096"/>
      <c r="BL18" s="1096"/>
      <c r="BM18" s="1096"/>
      <c r="BN18" s="1096"/>
      <c r="BO18" s="1096"/>
      <c r="BP18" s="1096"/>
      <c r="BQ18" s="1096"/>
      <c r="BR18" s="1096"/>
      <c r="BS18" s="1096"/>
      <c r="BT18" s="1096"/>
      <c r="BU18" s="1096"/>
    </row>
    <row r="19" spans="1:73" x14ac:dyDescent="0.25">
      <c r="A19" s="1096"/>
      <c r="B19" s="1096"/>
      <c r="C19" s="1096"/>
      <c r="D19" s="1096"/>
      <c r="E19" s="1096"/>
      <c r="F19" s="1096"/>
      <c r="G19" s="1096"/>
      <c r="H19" s="1096"/>
      <c r="I19" s="1096"/>
      <c r="J19" s="1096"/>
      <c r="K19" s="1096"/>
      <c r="L19" s="1096"/>
      <c r="M19" s="1096"/>
      <c r="N19" s="1096"/>
      <c r="O19" s="1096"/>
      <c r="P19" s="1096"/>
      <c r="Q19" s="1096"/>
      <c r="R19" s="1096"/>
      <c r="S19" s="1096"/>
      <c r="T19" s="1096"/>
      <c r="U19" s="1096"/>
      <c r="V19" s="1459">
        <f t="shared" si="4"/>
        <v>0.25</v>
      </c>
      <c r="W19" s="1110">
        <f t="shared" ca="1" si="3"/>
        <v>1.2999483489303336</v>
      </c>
      <c r="X19" s="1096"/>
      <c r="Y19" s="1096"/>
      <c r="Z19" s="1096"/>
      <c r="AA19" s="1096"/>
      <c r="AB19" s="1096"/>
      <c r="AC19" s="1096"/>
      <c r="AD19" s="1096"/>
      <c r="AE19" s="1096"/>
      <c r="AF19" s="1096"/>
      <c r="AG19" s="1096"/>
      <c r="AH19" s="1096"/>
      <c r="AI19" s="1096"/>
      <c r="AJ19" s="1096"/>
      <c r="AK19" s="1096"/>
      <c r="AL19" s="1096"/>
      <c r="AM19" s="1096"/>
      <c r="AN19" s="1096"/>
      <c r="AO19" s="1096"/>
      <c r="AP19" s="1096"/>
      <c r="AQ19" s="1096"/>
      <c r="AR19" s="1096"/>
      <c r="AS19" s="1096"/>
      <c r="AT19" s="1096"/>
      <c r="AU19" s="1096"/>
      <c r="AV19" s="1096"/>
      <c r="AW19" s="1096"/>
      <c r="AX19" s="1096"/>
      <c r="AY19" s="1096"/>
      <c r="AZ19" s="1096"/>
      <c r="BA19" s="1096"/>
      <c r="BB19" s="1096"/>
      <c r="BC19" s="1096"/>
      <c r="BD19" s="1096"/>
      <c r="BE19" s="1096"/>
      <c r="BF19" s="1096"/>
      <c r="BG19" s="1096"/>
      <c r="BH19" s="1096"/>
      <c r="BI19" s="1096"/>
      <c r="BJ19" s="1096"/>
      <c r="BK19" s="1096"/>
      <c r="BL19" s="1096"/>
      <c r="BM19" s="1096"/>
      <c r="BN19" s="1096"/>
      <c r="BO19" s="1096"/>
      <c r="BP19" s="1096"/>
      <c r="BQ19" s="1096"/>
      <c r="BR19" s="1096"/>
      <c r="BS19" s="1096"/>
      <c r="BT19" s="1096"/>
      <c r="BU19" s="1096"/>
    </row>
    <row r="20" spans="1:73" x14ac:dyDescent="0.25">
      <c r="A20" s="1096"/>
      <c r="B20" s="1096"/>
      <c r="C20" s="1096"/>
      <c r="D20" s="1096"/>
      <c r="E20" s="1096"/>
      <c r="F20" s="1096"/>
      <c r="G20" s="1096"/>
      <c r="H20" s="1096"/>
      <c r="I20" s="1096"/>
      <c r="J20" s="1096"/>
      <c r="K20" s="1096"/>
      <c r="L20" s="1096"/>
      <c r="M20" s="1096"/>
      <c r="N20" s="1096"/>
      <c r="O20" s="1096"/>
      <c r="P20" s="1096"/>
      <c r="Q20" s="1096"/>
      <c r="R20" s="1096"/>
      <c r="S20" s="1096"/>
      <c r="T20" s="1096"/>
      <c r="U20" s="1096"/>
      <c r="V20" s="1459">
        <f t="shared" si="4"/>
        <v>0.3</v>
      </c>
      <c r="W20" s="1110">
        <f t="shared" ca="1" si="3"/>
        <v>1.3030231328469823</v>
      </c>
      <c r="X20" s="1096"/>
      <c r="Y20" s="1096"/>
      <c r="Z20" s="1096"/>
      <c r="AA20" s="1096"/>
      <c r="AB20" s="1096"/>
      <c r="AC20" s="1096"/>
      <c r="AD20" s="1096"/>
      <c r="AE20" s="1096"/>
      <c r="AF20" s="1096"/>
      <c r="AG20" s="1096"/>
      <c r="AH20" s="1096"/>
      <c r="AI20" s="1096"/>
      <c r="AJ20" s="1096"/>
      <c r="AK20" s="1096"/>
      <c r="AL20" s="1096"/>
      <c r="AM20" s="1096"/>
      <c r="AN20" s="1096"/>
      <c r="AO20" s="1096"/>
      <c r="AP20" s="1096"/>
      <c r="AQ20" s="1096"/>
      <c r="AR20" s="1096"/>
      <c r="AS20" s="1096"/>
      <c r="AT20" s="1096"/>
      <c r="AU20" s="1096"/>
      <c r="AV20" s="1096"/>
      <c r="AW20" s="1096"/>
      <c r="AX20" s="1096"/>
      <c r="AY20" s="1096"/>
      <c r="AZ20" s="1096"/>
      <c r="BA20" s="1096"/>
      <c r="BB20" s="1096"/>
      <c r="BC20" s="1096"/>
      <c r="BD20" s="1096"/>
      <c r="BE20" s="1096"/>
      <c r="BF20" s="1096"/>
      <c r="BG20" s="1096"/>
      <c r="BH20" s="1096"/>
      <c r="BI20" s="1096"/>
      <c r="BJ20" s="1096"/>
      <c r="BK20" s="1096"/>
      <c r="BL20" s="1096"/>
      <c r="BM20" s="1096"/>
      <c r="BN20" s="1096"/>
      <c r="BO20" s="1096"/>
      <c r="BP20" s="1096"/>
      <c r="BQ20" s="1096"/>
      <c r="BR20" s="1096"/>
      <c r="BS20" s="1096"/>
      <c r="BT20" s="1096"/>
      <c r="BU20" s="1096"/>
    </row>
    <row r="21" spans="1:73" x14ac:dyDescent="0.25">
      <c r="A21" s="1096"/>
      <c r="B21" s="1096"/>
      <c r="C21" s="1096"/>
      <c r="D21" s="1096"/>
      <c r="E21" s="1096"/>
      <c r="F21" s="1096"/>
      <c r="G21" s="1096"/>
      <c r="H21" s="1096"/>
      <c r="I21" s="1096"/>
      <c r="J21" s="1096"/>
      <c r="K21" s="1096"/>
      <c r="L21" s="1096"/>
      <c r="M21" s="1096"/>
      <c r="N21" s="1096"/>
      <c r="O21" s="1096"/>
      <c r="P21" s="1096"/>
      <c r="Q21" s="1096"/>
      <c r="R21" s="1096"/>
      <c r="S21" s="1096"/>
      <c r="T21" s="1096"/>
      <c r="U21" s="1096"/>
      <c r="V21" s="1459">
        <f t="shared" si="4"/>
        <v>0.35</v>
      </c>
      <c r="W21" s="1110">
        <f t="shared" ca="1" si="3"/>
        <v>1.3063090226545415</v>
      </c>
      <c r="X21" s="1096"/>
      <c r="Y21" s="1096"/>
      <c r="Z21" s="1096"/>
      <c r="AA21" s="1096"/>
      <c r="AB21" s="1096"/>
      <c r="AC21" s="1096"/>
      <c r="AD21" s="1096"/>
      <c r="AE21" s="1096"/>
      <c r="AF21" s="1096"/>
      <c r="AG21" s="1096"/>
      <c r="AH21" s="1096"/>
      <c r="AI21" s="1096"/>
      <c r="AJ21" s="1096"/>
      <c r="AK21" s="1096"/>
      <c r="AL21" s="1096"/>
      <c r="AM21" s="1096"/>
      <c r="AN21" s="1096"/>
      <c r="AO21" s="1096"/>
      <c r="AP21" s="1096"/>
      <c r="AQ21" s="1096"/>
      <c r="AR21" s="1096"/>
      <c r="AS21" s="1096"/>
      <c r="AT21" s="1096"/>
      <c r="AU21" s="1096"/>
      <c r="AV21" s="1096"/>
      <c r="AW21" s="1096"/>
      <c r="AX21" s="1096"/>
      <c r="AY21" s="1096"/>
      <c r="AZ21" s="1096"/>
      <c r="BA21" s="1096"/>
      <c r="BB21" s="1096"/>
      <c r="BC21" s="1096"/>
      <c r="BD21" s="1096"/>
      <c r="BE21" s="1096"/>
      <c r="BF21" s="1096"/>
      <c r="BG21" s="1096"/>
      <c r="BH21" s="1096"/>
      <c r="BI21" s="1096"/>
      <c r="BJ21" s="1096"/>
      <c r="BK21" s="1096"/>
      <c r="BL21" s="1096"/>
      <c r="BM21" s="1096"/>
      <c r="BN21" s="1096"/>
      <c r="BO21" s="1096"/>
      <c r="BP21" s="1096"/>
      <c r="BQ21" s="1096"/>
      <c r="BR21" s="1096"/>
      <c r="BS21" s="1096"/>
      <c r="BT21" s="1096"/>
      <c r="BU21" s="1096"/>
    </row>
    <row r="22" spans="1:73" x14ac:dyDescent="0.25">
      <c r="A22" s="1096"/>
      <c r="B22" s="1096"/>
      <c r="C22" s="1096"/>
      <c r="D22" s="1096"/>
      <c r="E22" s="1096"/>
      <c r="F22" s="1096"/>
      <c r="G22" s="1096"/>
      <c r="H22" s="1096"/>
      <c r="I22" s="1096"/>
      <c r="J22" s="1096"/>
      <c r="K22" s="1096"/>
      <c r="L22" s="1096"/>
      <c r="M22" s="1096"/>
      <c r="N22" s="1096"/>
      <c r="O22" s="1096"/>
      <c r="P22" s="1096"/>
      <c r="Q22" s="1096"/>
      <c r="R22" s="1096"/>
      <c r="S22" s="1096"/>
      <c r="T22" s="1096"/>
      <c r="U22" s="1096"/>
      <c r="V22" s="1459">
        <f t="shared" si="4"/>
        <v>0.39999999999999997</v>
      </c>
      <c r="W22" s="1110">
        <f t="shared" ca="1" si="3"/>
        <v>1.3098618572678196</v>
      </c>
      <c r="X22" s="1096"/>
      <c r="Y22" s="1096"/>
      <c r="Z22" s="1096"/>
      <c r="AA22" s="1096"/>
      <c r="AB22" s="1096"/>
      <c r="AC22" s="1096"/>
      <c r="AD22" s="1096"/>
      <c r="AE22" s="1096"/>
      <c r="AF22" s="1096"/>
      <c r="AG22" s="1096"/>
      <c r="AH22" s="1096"/>
      <c r="AI22" s="1096"/>
      <c r="AJ22" s="1096"/>
      <c r="AK22" s="1096"/>
      <c r="AL22" s="1096"/>
      <c r="AM22" s="1096"/>
      <c r="AN22" s="1096"/>
      <c r="AO22" s="1096"/>
      <c r="AP22" s="1096"/>
      <c r="AQ22" s="1096"/>
      <c r="AR22" s="1096"/>
      <c r="AS22" s="1096"/>
      <c r="AT22" s="1096"/>
      <c r="AU22" s="1096"/>
      <c r="AV22" s="1096"/>
      <c r="AW22" s="1096"/>
      <c r="AX22" s="1096"/>
      <c r="AY22" s="1096"/>
      <c r="AZ22" s="1096"/>
      <c r="BA22" s="1096"/>
      <c r="BB22" s="1096"/>
      <c r="BC22" s="1096"/>
      <c r="BD22" s="1096"/>
      <c r="BE22" s="1096"/>
      <c r="BF22" s="1096"/>
      <c r="BG22" s="1096"/>
      <c r="BH22" s="1096"/>
      <c r="BI22" s="1096"/>
      <c r="BJ22" s="1096"/>
      <c r="BK22" s="1096"/>
      <c r="BL22" s="1096"/>
      <c r="BM22" s="1096"/>
      <c r="BN22" s="1096"/>
      <c r="BO22" s="1096"/>
      <c r="BP22" s="1096"/>
      <c r="BQ22" s="1096"/>
      <c r="BR22" s="1096"/>
      <c r="BS22" s="1096"/>
      <c r="BT22" s="1096"/>
      <c r="BU22" s="1096"/>
    </row>
    <row r="23" spans="1:73" x14ac:dyDescent="0.25">
      <c r="A23" s="1096"/>
      <c r="B23" s="1096"/>
      <c r="C23" s="1096"/>
      <c r="D23" s="1096"/>
      <c r="E23" s="1096"/>
      <c r="F23" s="1096"/>
      <c r="G23" s="1096"/>
      <c r="H23" s="1096"/>
      <c r="I23" s="1096"/>
      <c r="J23" s="1096"/>
      <c r="K23" s="1096"/>
      <c r="L23" s="1096"/>
      <c r="M23" s="1096"/>
      <c r="N23" s="1096"/>
      <c r="O23" s="1096"/>
      <c r="P23" s="1096"/>
      <c r="Q23" s="1096"/>
      <c r="R23" s="1096"/>
      <c r="S23" s="1096"/>
      <c r="T23" s="1096"/>
      <c r="U23" s="1096"/>
      <c r="V23" s="1459">
        <f t="shared" si="4"/>
        <v>0.44999999999999996</v>
      </c>
      <c r="W23" s="1110">
        <f t="shared" ca="1" si="3"/>
        <v>1.3130372818115144</v>
      </c>
      <c r="X23" s="1096"/>
      <c r="Y23" s="1096"/>
      <c r="Z23" s="1096"/>
      <c r="AA23" s="1096"/>
      <c r="AB23" s="1096"/>
      <c r="AC23" s="1096"/>
      <c r="AD23" s="1096"/>
      <c r="AE23" s="1096"/>
      <c r="AF23" s="1096"/>
      <c r="AG23" s="1096"/>
      <c r="AH23" s="1096"/>
      <c r="AI23" s="1096"/>
      <c r="AJ23" s="1096"/>
      <c r="AK23" s="1096"/>
      <c r="AL23" s="1096"/>
      <c r="AM23" s="1096"/>
      <c r="AN23" s="1096"/>
      <c r="AO23" s="1096"/>
      <c r="AP23" s="1096"/>
      <c r="AQ23" s="1096"/>
      <c r="AR23" s="1096"/>
      <c r="AS23" s="1096"/>
      <c r="AT23" s="1096"/>
      <c r="AU23" s="1096"/>
      <c r="AV23" s="1096"/>
      <c r="AW23" s="1096"/>
      <c r="AX23" s="1096"/>
      <c r="AY23" s="1096"/>
      <c r="AZ23" s="1096"/>
      <c r="BA23" s="1096"/>
      <c r="BB23" s="1096"/>
      <c r="BC23" s="1096"/>
      <c r="BD23" s="1096"/>
      <c r="BE23" s="1096"/>
      <c r="BF23" s="1096"/>
      <c r="BG23" s="1096"/>
      <c r="BH23" s="1096"/>
      <c r="BI23" s="1096"/>
      <c r="BJ23" s="1096"/>
      <c r="BK23" s="1096"/>
      <c r="BL23" s="1096"/>
      <c r="BM23" s="1096"/>
      <c r="BN23" s="1096"/>
      <c r="BO23" s="1096"/>
      <c r="BP23" s="1096"/>
      <c r="BQ23" s="1096"/>
      <c r="BR23" s="1096"/>
      <c r="BS23" s="1096"/>
      <c r="BT23" s="1096"/>
      <c r="BU23" s="1096"/>
    </row>
    <row r="24" spans="1:73" x14ac:dyDescent="0.25">
      <c r="A24" s="1096"/>
      <c r="B24" s="1096"/>
      <c r="C24" s="1096"/>
      <c r="D24" s="1096"/>
      <c r="E24" s="1096"/>
      <c r="F24" s="1096"/>
      <c r="G24" s="1096"/>
      <c r="H24" s="1096"/>
      <c r="I24" s="1096"/>
      <c r="J24" s="1096"/>
      <c r="K24" s="1096"/>
      <c r="L24" s="1096"/>
      <c r="M24" s="1096"/>
      <c r="N24" s="1096"/>
      <c r="O24" s="1096"/>
      <c r="P24" s="1096"/>
      <c r="Q24" s="1096"/>
      <c r="R24" s="1096"/>
      <c r="S24" s="1096"/>
      <c r="T24" s="1096"/>
      <c r="U24" s="1096"/>
      <c r="V24" s="1460">
        <f t="shared" si="4"/>
        <v>0.49999999999999994</v>
      </c>
      <c r="W24" s="1461">
        <f t="shared" ca="1" si="3"/>
        <v>1.3158084655542464</v>
      </c>
      <c r="X24" s="1096"/>
      <c r="Y24" s="1096"/>
      <c r="Z24" s="1096"/>
      <c r="AA24" s="1096"/>
      <c r="AB24" s="1096"/>
      <c r="AC24" s="1096"/>
      <c r="AD24" s="1096"/>
      <c r="AE24" s="1096"/>
      <c r="AF24" s="1096"/>
      <c r="AG24" s="1096"/>
      <c r="AH24" s="1096"/>
      <c r="AI24" s="1096"/>
      <c r="AJ24" s="1096"/>
      <c r="AK24" s="1096"/>
      <c r="AL24" s="1096"/>
      <c r="AM24" s="1096"/>
      <c r="AN24" s="1096"/>
      <c r="AO24" s="1096"/>
      <c r="AP24" s="1096"/>
      <c r="AQ24" s="1096"/>
      <c r="AR24" s="1096"/>
      <c r="AS24" s="1096"/>
      <c r="AT24" s="1096"/>
      <c r="AU24" s="1096"/>
      <c r="AV24" s="1096"/>
      <c r="AW24" s="1096"/>
      <c r="AX24" s="1096"/>
      <c r="AY24" s="1096"/>
      <c r="AZ24" s="1096"/>
      <c r="BA24" s="1096"/>
      <c r="BB24" s="1096"/>
      <c r="BC24" s="1096"/>
      <c r="BD24" s="1096"/>
      <c r="BE24" s="1096"/>
      <c r="BF24" s="1096"/>
      <c r="BG24" s="1096"/>
      <c r="BH24" s="1096"/>
      <c r="BI24" s="1096"/>
      <c r="BJ24" s="1096"/>
      <c r="BK24" s="1096"/>
      <c r="BL24" s="1096"/>
      <c r="BM24" s="1096"/>
      <c r="BN24" s="1096"/>
      <c r="BO24" s="1096"/>
      <c r="BP24" s="1096"/>
      <c r="BQ24" s="1096"/>
      <c r="BR24" s="1096"/>
      <c r="BS24" s="1096"/>
      <c r="BT24" s="1096"/>
      <c r="BU24" s="1096"/>
    </row>
    <row r="25" spans="1:73" x14ac:dyDescent="0.25">
      <c r="A25" s="1096"/>
      <c r="B25" s="1096"/>
      <c r="C25" s="1096"/>
      <c r="D25" s="1096"/>
      <c r="E25" s="1096"/>
      <c r="F25" s="1096"/>
      <c r="G25" s="1096"/>
      <c r="H25" s="1096"/>
      <c r="I25" s="1096"/>
      <c r="J25" s="1096"/>
      <c r="K25" s="1096"/>
      <c r="L25" s="1096"/>
      <c r="M25" s="1096"/>
      <c r="N25" s="1096"/>
      <c r="O25" s="1096"/>
      <c r="P25" s="1096"/>
      <c r="Q25" s="1096"/>
      <c r="R25" s="1096"/>
      <c r="S25" s="1096"/>
      <c r="T25" s="1096"/>
      <c r="U25" s="1096"/>
      <c r="V25" s="1459">
        <f t="shared" si="4"/>
        <v>0.54999999999999993</v>
      </c>
      <c r="W25" s="1110">
        <f t="shared" ca="1" si="3"/>
        <v>1.3187558670421662</v>
      </c>
      <c r="X25" s="1096"/>
      <c r="Y25" s="1096"/>
      <c r="Z25" s="1096"/>
      <c r="AA25" s="1096"/>
      <c r="AB25" s="1096"/>
      <c r="AC25" s="1096"/>
      <c r="AD25" s="1096"/>
      <c r="AE25" s="1096"/>
      <c r="AF25" s="1096"/>
      <c r="AG25" s="1096"/>
      <c r="AH25" s="1096"/>
      <c r="AI25" s="1096"/>
      <c r="AJ25" s="1096"/>
      <c r="AK25" s="1096"/>
      <c r="AL25" s="1096"/>
      <c r="AM25" s="1096"/>
      <c r="AN25" s="1096"/>
      <c r="AO25" s="1096"/>
      <c r="AP25" s="1096"/>
      <c r="AQ25" s="1096"/>
      <c r="AR25" s="1096"/>
      <c r="AS25" s="1096"/>
      <c r="AT25" s="1096"/>
      <c r="AU25" s="1096"/>
      <c r="AV25" s="1096"/>
      <c r="AW25" s="1096"/>
      <c r="AX25" s="1096"/>
      <c r="AY25" s="1096"/>
      <c r="AZ25" s="1096"/>
      <c r="BA25" s="1096"/>
      <c r="BB25" s="1096"/>
      <c r="BC25" s="1096"/>
      <c r="BD25" s="1096"/>
      <c r="BE25" s="1096"/>
      <c r="BF25" s="1096"/>
      <c r="BG25" s="1096"/>
      <c r="BH25" s="1096"/>
      <c r="BI25" s="1096"/>
      <c r="BJ25" s="1096"/>
      <c r="BK25" s="1096"/>
      <c r="BL25" s="1096"/>
      <c r="BM25" s="1096"/>
      <c r="BN25" s="1096"/>
      <c r="BO25" s="1096"/>
      <c r="BP25" s="1096"/>
      <c r="BQ25" s="1096"/>
      <c r="BR25" s="1096"/>
      <c r="BS25" s="1096"/>
      <c r="BT25" s="1096"/>
      <c r="BU25" s="1096"/>
    </row>
    <row r="26" spans="1:73" x14ac:dyDescent="0.25">
      <c r="A26" s="1096"/>
      <c r="B26" s="1096"/>
      <c r="C26" s="1096"/>
      <c r="D26" s="1096"/>
      <c r="E26" s="1096"/>
      <c r="F26" s="1096"/>
      <c r="G26" s="1096"/>
      <c r="H26" s="1096"/>
      <c r="I26" s="1096"/>
      <c r="J26" s="1096"/>
      <c r="K26" s="1096"/>
      <c r="L26" s="1096"/>
      <c r="M26" s="1096"/>
      <c r="N26" s="1096"/>
      <c r="O26" s="1096"/>
      <c r="P26" s="1096"/>
      <c r="Q26" s="1096"/>
      <c r="R26" s="1096"/>
      <c r="S26" s="1096"/>
      <c r="T26" s="1096"/>
      <c r="U26" s="1096"/>
      <c r="V26" s="1459">
        <f t="shared" si="4"/>
        <v>0.6</v>
      </c>
      <c r="W26" s="1110">
        <f t="shared" ca="1" si="3"/>
        <v>1.3218704833384627</v>
      </c>
      <c r="X26" s="1096"/>
      <c r="Y26" s="1096"/>
      <c r="Z26" s="1096"/>
      <c r="AA26" s="1096"/>
      <c r="AB26" s="1096"/>
      <c r="AC26" s="1096"/>
      <c r="AD26" s="1096"/>
      <c r="AE26" s="1096"/>
      <c r="AF26" s="1096"/>
      <c r="AG26" s="1096"/>
      <c r="AH26" s="1096"/>
      <c r="AI26" s="1096"/>
      <c r="AJ26" s="1096"/>
      <c r="AK26" s="1096"/>
      <c r="AL26" s="1096"/>
      <c r="AM26" s="1096"/>
      <c r="AN26" s="1096"/>
      <c r="AO26" s="1096"/>
      <c r="AP26" s="1096"/>
      <c r="AQ26" s="1096"/>
      <c r="AR26" s="1096"/>
      <c r="AS26" s="1096"/>
      <c r="AT26" s="1096"/>
      <c r="AU26" s="1096"/>
      <c r="AV26" s="1096"/>
      <c r="AW26" s="1096"/>
      <c r="AX26" s="1096"/>
      <c r="AY26" s="1096"/>
      <c r="AZ26" s="1096"/>
      <c r="BA26" s="1096"/>
      <c r="BB26" s="1096"/>
      <c r="BC26" s="1096"/>
      <c r="BD26" s="1096"/>
      <c r="BE26" s="1096"/>
      <c r="BF26" s="1096"/>
      <c r="BG26" s="1096"/>
      <c r="BH26" s="1096"/>
      <c r="BI26" s="1096"/>
      <c r="BJ26" s="1096"/>
      <c r="BK26" s="1096"/>
      <c r="BL26" s="1096"/>
      <c r="BM26" s="1096"/>
      <c r="BN26" s="1096"/>
      <c r="BO26" s="1096"/>
      <c r="BP26" s="1096"/>
      <c r="BQ26" s="1096"/>
      <c r="BR26" s="1096"/>
      <c r="BS26" s="1096"/>
      <c r="BT26" s="1096"/>
      <c r="BU26" s="1096"/>
    </row>
    <row r="27" spans="1:73" x14ac:dyDescent="0.25">
      <c r="A27" s="1096"/>
      <c r="B27" s="1096"/>
      <c r="C27" s="1096"/>
      <c r="D27" s="1096"/>
      <c r="E27" s="1096"/>
      <c r="F27" s="1096"/>
      <c r="G27" s="1096"/>
      <c r="H27" s="1096"/>
      <c r="I27" s="1096"/>
      <c r="J27" s="1096"/>
      <c r="K27" s="1096"/>
      <c r="L27" s="1096"/>
      <c r="M27" s="1096"/>
      <c r="N27" s="1096"/>
      <c r="O27" s="1096"/>
      <c r="P27" s="1096"/>
      <c r="Q27" s="1096"/>
      <c r="R27" s="1096"/>
      <c r="S27" s="1096"/>
      <c r="T27" s="1096"/>
      <c r="U27" s="1096"/>
      <c r="V27" s="1459">
        <f t="shared" si="4"/>
        <v>0.65</v>
      </c>
      <c r="W27" s="1110">
        <f t="shared" ca="1" si="3"/>
        <v>1.3244190747049365</v>
      </c>
      <c r="X27" s="1096"/>
      <c r="Y27" s="1096"/>
      <c r="Z27" s="1096"/>
      <c r="AA27" s="1096"/>
      <c r="AB27" s="1096"/>
      <c r="AC27" s="1096"/>
      <c r="AD27" s="1096"/>
      <c r="AE27" s="1096"/>
      <c r="AF27" s="1096"/>
      <c r="AG27" s="1096"/>
      <c r="AH27" s="1096"/>
      <c r="AI27" s="1096"/>
      <c r="AJ27" s="1096"/>
      <c r="AK27" s="1096"/>
      <c r="AL27" s="1096"/>
      <c r="AM27" s="1096"/>
      <c r="AN27" s="1096"/>
      <c r="AO27" s="1096"/>
      <c r="AP27" s="1096"/>
      <c r="AQ27" s="1096"/>
      <c r="AR27" s="1096"/>
      <c r="AS27" s="1096"/>
      <c r="AT27" s="1096"/>
      <c r="AU27" s="1096"/>
      <c r="AV27" s="1096"/>
      <c r="AW27" s="1096"/>
      <c r="AX27" s="1096"/>
      <c r="AY27" s="1096"/>
      <c r="AZ27" s="1096"/>
      <c r="BA27" s="1096"/>
      <c r="BB27" s="1096"/>
      <c r="BC27" s="1096"/>
      <c r="BD27" s="1096"/>
      <c r="BE27" s="1096"/>
      <c r="BF27" s="1096"/>
      <c r="BG27" s="1096"/>
      <c r="BH27" s="1096"/>
      <c r="BI27" s="1096"/>
      <c r="BJ27" s="1096"/>
      <c r="BK27" s="1096"/>
      <c r="BL27" s="1096"/>
      <c r="BM27" s="1096"/>
      <c r="BN27" s="1096"/>
      <c r="BO27" s="1096"/>
      <c r="BP27" s="1096"/>
      <c r="BQ27" s="1096"/>
      <c r="BR27" s="1096"/>
      <c r="BS27" s="1096"/>
      <c r="BT27" s="1096"/>
      <c r="BU27" s="1096"/>
    </row>
    <row r="28" spans="1:73" x14ac:dyDescent="0.25">
      <c r="A28" s="1096"/>
      <c r="B28" s="1096"/>
      <c r="C28" s="1096"/>
      <c r="D28" s="1096"/>
      <c r="E28" s="1096"/>
      <c r="F28" s="1096"/>
      <c r="G28" s="1096"/>
      <c r="H28" s="1096"/>
      <c r="I28" s="1096"/>
      <c r="J28" s="1096"/>
      <c r="K28" s="1096"/>
      <c r="L28" s="1096"/>
      <c r="M28" s="1096"/>
      <c r="N28" s="1096"/>
      <c r="O28" s="1096"/>
      <c r="P28" s="1096"/>
      <c r="Q28" s="1096"/>
      <c r="R28" s="1096"/>
      <c r="S28" s="1096"/>
      <c r="T28" s="1096"/>
      <c r="U28" s="1096"/>
      <c r="V28" s="1459">
        <f t="shared" si="4"/>
        <v>0.70000000000000007</v>
      </c>
      <c r="W28" s="1110">
        <f t="shared" ca="1" si="3"/>
        <v>1.32802855144211</v>
      </c>
      <c r="X28" s="1096"/>
      <c r="Y28" s="1096"/>
      <c r="Z28" s="1096"/>
      <c r="AA28" s="1096"/>
      <c r="AB28" s="1096"/>
      <c r="AC28" s="1096"/>
      <c r="AD28" s="1096"/>
      <c r="AE28" s="1096"/>
      <c r="AF28" s="1096"/>
      <c r="AG28" s="1096"/>
      <c r="AH28" s="1096"/>
      <c r="AI28" s="1096"/>
      <c r="AJ28" s="1096"/>
      <c r="AK28" s="1096"/>
      <c r="AL28" s="1096"/>
      <c r="AM28" s="1096"/>
      <c r="AN28" s="1096"/>
      <c r="AO28" s="1096"/>
      <c r="AP28" s="1096"/>
      <c r="AQ28" s="1096"/>
      <c r="AR28" s="1096"/>
      <c r="AS28" s="1096"/>
      <c r="AT28" s="1096"/>
      <c r="AU28" s="1096"/>
      <c r="AV28" s="1096"/>
      <c r="AW28" s="1096"/>
      <c r="AX28" s="1096"/>
      <c r="AY28" s="1096"/>
      <c r="AZ28" s="1096"/>
      <c r="BA28" s="1096"/>
      <c r="BB28" s="1096"/>
      <c r="BC28" s="1096"/>
      <c r="BD28" s="1096"/>
      <c r="BE28" s="1096"/>
      <c r="BF28" s="1096"/>
      <c r="BG28" s="1096"/>
      <c r="BH28" s="1096"/>
      <c r="BI28" s="1096"/>
      <c r="BJ28" s="1096"/>
      <c r="BK28" s="1096"/>
      <c r="BL28" s="1096"/>
      <c r="BM28" s="1096"/>
      <c r="BN28" s="1096"/>
      <c r="BO28" s="1096"/>
      <c r="BP28" s="1096"/>
      <c r="BQ28" s="1096"/>
      <c r="BR28" s="1096"/>
      <c r="BS28" s="1096"/>
      <c r="BT28" s="1096"/>
      <c r="BU28" s="1096"/>
    </row>
    <row r="29" spans="1:73" x14ac:dyDescent="0.25">
      <c r="A29" s="1096"/>
      <c r="B29" s="1096"/>
      <c r="C29" s="1096"/>
      <c r="D29" s="1096"/>
      <c r="E29" s="1096"/>
      <c r="F29" s="1096"/>
      <c r="G29" s="1096"/>
      <c r="H29" s="1096"/>
      <c r="I29" s="1096"/>
      <c r="J29" s="1096"/>
      <c r="K29" s="1096"/>
      <c r="L29" s="1096"/>
      <c r="M29" s="1096"/>
      <c r="N29" s="1096"/>
      <c r="O29" s="1096"/>
      <c r="P29" s="1096"/>
      <c r="Q29" s="1096"/>
      <c r="R29" s="1096"/>
      <c r="S29" s="1096"/>
      <c r="T29" s="1096"/>
      <c r="U29" s="1096"/>
      <c r="V29" s="1459">
        <f t="shared" si="4"/>
        <v>0.75000000000000011</v>
      </c>
      <c r="W29" s="1110">
        <f t="shared" ca="1" si="3"/>
        <v>1.3316743935092648</v>
      </c>
      <c r="X29" s="1096"/>
      <c r="Y29" s="1096"/>
      <c r="Z29" s="1096"/>
      <c r="AA29" s="1096"/>
      <c r="AB29" s="1096"/>
      <c r="AC29" s="1096"/>
      <c r="AD29" s="1096"/>
      <c r="AE29" s="1096"/>
      <c r="AF29" s="1096"/>
      <c r="AG29" s="1096"/>
      <c r="AH29" s="1096"/>
      <c r="AI29" s="1096"/>
      <c r="AJ29" s="1096"/>
      <c r="AK29" s="1096"/>
      <c r="AL29" s="1096"/>
      <c r="AM29" s="1096"/>
      <c r="AN29" s="1096"/>
      <c r="AO29" s="1096"/>
      <c r="AP29" s="1096"/>
      <c r="AQ29" s="1096"/>
      <c r="AR29" s="1096"/>
      <c r="AS29" s="1096"/>
      <c r="AT29" s="1096"/>
      <c r="AU29" s="1096"/>
      <c r="AV29" s="1096"/>
      <c r="AW29" s="1096"/>
      <c r="AX29" s="1096"/>
      <c r="AY29" s="1096"/>
      <c r="AZ29" s="1096"/>
      <c r="BA29" s="1096"/>
      <c r="BB29" s="1096"/>
      <c r="BC29" s="1096"/>
      <c r="BD29" s="1096"/>
      <c r="BE29" s="1096"/>
      <c r="BF29" s="1096"/>
      <c r="BG29" s="1096"/>
      <c r="BH29" s="1096"/>
      <c r="BI29" s="1096"/>
      <c r="BJ29" s="1096"/>
      <c r="BK29" s="1096"/>
      <c r="BL29" s="1096"/>
      <c r="BM29" s="1096"/>
      <c r="BN29" s="1096"/>
      <c r="BO29" s="1096"/>
      <c r="BP29" s="1096"/>
      <c r="BQ29" s="1096"/>
      <c r="BR29" s="1096"/>
      <c r="BS29" s="1096"/>
      <c r="BT29" s="1096"/>
      <c r="BU29" s="1096"/>
    </row>
    <row r="30" spans="1:73" x14ac:dyDescent="0.25">
      <c r="A30" s="1096"/>
      <c r="B30" s="1096"/>
      <c r="C30" s="1096"/>
      <c r="D30" s="1096"/>
      <c r="E30" s="1096"/>
      <c r="F30" s="1097"/>
      <c r="G30" s="1096"/>
      <c r="H30" s="1096"/>
      <c r="I30" s="1096"/>
      <c r="J30" s="1096"/>
      <c r="K30" s="1096"/>
      <c r="L30" s="1096"/>
      <c r="M30" s="1096"/>
      <c r="N30" s="1096"/>
      <c r="O30" s="1096"/>
      <c r="P30" s="1096"/>
      <c r="Q30" s="1096"/>
      <c r="R30" s="1096"/>
      <c r="S30" s="1096"/>
      <c r="T30" s="1096"/>
      <c r="U30" s="1096"/>
      <c r="V30" s="1459">
        <f t="shared" si="4"/>
        <v>0.80000000000000016</v>
      </c>
      <c r="W30" s="1110">
        <f t="shared" ca="1" si="3"/>
        <v>1.3353292493218203</v>
      </c>
      <c r="X30" s="1096"/>
      <c r="Y30" s="1096"/>
      <c r="Z30" s="1096"/>
      <c r="AA30" s="1096"/>
      <c r="AB30" s="1096"/>
      <c r="AC30" s="1096"/>
      <c r="AD30" s="1096"/>
      <c r="AE30" s="1096"/>
      <c r="AF30" s="1096"/>
      <c r="AG30" s="1096"/>
      <c r="AH30" s="1096"/>
      <c r="AI30" s="1096"/>
      <c r="AJ30" s="1096"/>
      <c r="AK30" s="1096"/>
      <c r="AL30" s="1096"/>
      <c r="AM30" s="1096"/>
      <c r="AN30" s="1096"/>
      <c r="AO30" s="1096"/>
      <c r="AP30" s="1096"/>
      <c r="AQ30" s="1096"/>
      <c r="AR30" s="1096"/>
      <c r="AS30" s="1096"/>
      <c r="AT30" s="1096"/>
      <c r="AU30" s="1096"/>
      <c r="AV30" s="1096"/>
      <c r="AW30" s="1096"/>
      <c r="AX30" s="1096"/>
      <c r="AY30" s="1096"/>
      <c r="AZ30" s="1096"/>
      <c r="BA30" s="1096"/>
      <c r="BB30" s="1096"/>
      <c r="BC30" s="1096"/>
      <c r="BD30" s="1096"/>
      <c r="BE30" s="1096"/>
      <c r="BF30" s="1096"/>
      <c r="BG30" s="1096"/>
      <c r="BH30" s="1096"/>
      <c r="BI30" s="1096"/>
      <c r="BJ30" s="1096"/>
      <c r="BK30" s="1096"/>
      <c r="BL30" s="1096"/>
      <c r="BM30" s="1096"/>
      <c r="BN30" s="1096"/>
      <c r="BO30" s="1096"/>
      <c r="BP30" s="1096"/>
      <c r="BQ30" s="1096"/>
      <c r="BR30" s="1096"/>
      <c r="BS30" s="1096"/>
      <c r="BT30" s="1096"/>
      <c r="BU30" s="1096"/>
    </row>
    <row r="31" spans="1:73" x14ac:dyDescent="0.25">
      <c r="A31" s="1096"/>
      <c r="B31" s="1096"/>
      <c r="C31" s="1096"/>
      <c r="D31" s="1096"/>
      <c r="E31" s="1096"/>
      <c r="F31" s="1096"/>
      <c r="G31" s="1096"/>
      <c r="H31" s="1096"/>
      <c r="I31" s="1096"/>
      <c r="J31" s="1096"/>
      <c r="K31" s="1096"/>
      <c r="L31" s="1096"/>
      <c r="M31" s="1096"/>
      <c r="N31" s="1096"/>
      <c r="O31" s="1096"/>
      <c r="P31" s="1096"/>
      <c r="Q31" s="1096"/>
      <c r="R31" s="1096"/>
      <c r="S31" s="1096"/>
      <c r="T31" s="1096"/>
      <c r="U31" s="1096"/>
      <c r="V31" s="1459">
        <f t="shared" si="4"/>
        <v>0.8500000000000002</v>
      </c>
      <c r="W31" s="1110">
        <f t="shared" ca="1" si="3"/>
        <v>1.3401328938578478</v>
      </c>
      <c r="X31" s="1096"/>
      <c r="Y31" s="1096"/>
      <c r="Z31" s="1096"/>
      <c r="AA31" s="1096"/>
      <c r="AB31" s="1096"/>
      <c r="AC31" s="1096"/>
      <c r="AD31" s="1096"/>
      <c r="AE31" s="1096"/>
      <c r="AF31" s="1096"/>
      <c r="AG31" s="1096"/>
      <c r="AH31" s="1096"/>
      <c r="AI31" s="1096"/>
      <c r="AJ31" s="1096"/>
      <c r="AK31" s="1096"/>
      <c r="AL31" s="1096"/>
      <c r="AM31" s="1096"/>
      <c r="AN31" s="1096"/>
      <c r="AO31" s="1096"/>
      <c r="AP31" s="1096"/>
      <c r="AQ31" s="1096"/>
      <c r="AR31" s="1096"/>
      <c r="AS31" s="1096"/>
      <c r="AT31" s="1096"/>
      <c r="AU31" s="1096"/>
      <c r="AV31" s="1096"/>
      <c r="AW31" s="1096"/>
      <c r="AX31" s="1096"/>
      <c r="AY31" s="1096"/>
      <c r="AZ31" s="1096"/>
      <c r="BA31" s="1096"/>
      <c r="BB31" s="1096"/>
      <c r="BC31" s="1096"/>
      <c r="BD31" s="1096"/>
      <c r="BE31" s="1096"/>
      <c r="BF31" s="1096"/>
      <c r="BG31" s="1096"/>
      <c r="BH31" s="1096"/>
      <c r="BI31" s="1096"/>
      <c r="BJ31" s="1096"/>
      <c r="BK31" s="1096"/>
      <c r="BL31" s="1096"/>
      <c r="BM31" s="1096"/>
      <c r="BN31" s="1096"/>
      <c r="BO31" s="1096"/>
      <c r="BP31" s="1096"/>
      <c r="BQ31" s="1096"/>
      <c r="BR31" s="1096"/>
      <c r="BS31" s="1096"/>
      <c r="BT31" s="1096"/>
      <c r="BU31" s="1096"/>
    </row>
    <row r="32" spans="1:73" x14ac:dyDescent="0.25">
      <c r="A32" s="1096"/>
      <c r="B32" s="1096"/>
      <c r="C32" s="1096"/>
      <c r="D32" s="1096"/>
      <c r="E32" s="1096"/>
      <c r="F32" s="1096"/>
      <c r="G32" s="1096"/>
      <c r="H32" s="1096"/>
      <c r="I32" s="1096"/>
      <c r="J32" s="1096"/>
      <c r="K32" s="1096"/>
      <c r="L32" s="1096"/>
      <c r="M32" s="1096"/>
      <c r="N32" s="1096"/>
      <c r="O32" s="1096"/>
      <c r="P32" s="1096"/>
      <c r="Q32" s="1096"/>
      <c r="R32" s="1096"/>
      <c r="S32" s="1096"/>
      <c r="T32" s="1096"/>
      <c r="U32" s="1096"/>
      <c r="V32" s="1459">
        <f t="shared" si="4"/>
        <v>0.90000000000000024</v>
      </c>
      <c r="W32" s="1110">
        <f t="shared" ca="1" si="3"/>
        <v>1.3467562439897569</v>
      </c>
      <c r="X32" s="1096"/>
      <c r="Y32" s="1096"/>
      <c r="Z32" s="1096"/>
      <c r="AA32" s="1096"/>
      <c r="AB32" s="1096"/>
      <c r="AC32" s="1096"/>
      <c r="AD32" s="1096"/>
      <c r="AE32" s="1096"/>
      <c r="AF32" s="1096"/>
      <c r="AG32" s="1096"/>
      <c r="AH32" s="1096"/>
      <c r="AI32" s="1096"/>
      <c r="AJ32" s="1096"/>
      <c r="AK32" s="1096"/>
      <c r="AL32" s="1096"/>
      <c r="AM32" s="1096"/>
      <c r="AN32" s="1096"/>
      <c r="AO32" s="1096"/>
      <c r="AP32" s="1096"/>
      <c r="AQ32" s="1096"/>
      <c r="AR32" s="1096"/>
      <c r="AS32" s="1096"/>
      <c r="AT32" s="1096"/>
      <c r="AU32" s="1096"/>
      <c r="AV32" s="1096"/>
      <c r="AW32" s="1096"/>
      <c r="AX32" s="1096"/>
      <c r="AY32" s="1096"/>
      <c r="AZ32" s="1096"/>
      <c r="BA32" s="1096"/>
      <c r="BB32" s="1096"/>
      <c r="BC32" s="1096"/>
      <c r="BD32" s="1096"/>
      <c r="BE32" s="1096"/>
      <c r="BF32" s="1096"/>
      <c r="BG32" s="1096"/>
      <c r="BH32" s="1096"/>
      <c r="BI32" s="1096"/>
      <c r="BJ32" s="1096"/>
      <c r="BK32" s="1096"/>
      <c r="BL32" s="1096"/>
      <c r="BM32" s="1096"/>
      <c r="BN32" s="1096"/>
      <c r="BO32" s="1096"/>
      <c r="BP32" s="1096"/>
      <c r="BQ32" s="1096"/>
      <c r="BR32" s="1096"/>
      <c r="BS32" s="1096"/>
      <c r="BT32" s="1096"/>
      <c r="BU32" s="1096"/>
    </row>
    <row r="33" spans="1:73" x14ac:dyDescent="0.25">
      <c r="A33" s="1096"/>
      <c r="B33" s="1096"/>
      <c r="C33" s="1096"/>
      <c r="D33" s="1096"/>
      <c r="E33" s="1096"/>
      <c r="F33" s="1096"/>
      <c r="G33" s="1096"/>
      <c r="H33" s="1096"/>
      <c r="I33" s="1096"/>
      <c r="J33" s="1096"/>
      <c r="K33" s="1096"/>
      <c r="L33" s="1096"/>
      <c r="M33" s="1096"/>
      <c r="N33" s="1096"/>
      <c r="O33" s="1096"/>
      <c r="P33" s="1096"/>
      <c r="Q33" s="1096"/>
      <c r="R33" s="1096"/>
      <c r="S33" s="1096"/>
      <c r="T33" s="1096"/>
      <c r="U33" s="1096"/>
      <c r="V33" s="1460">
        <f t="shared" si="4"/>
        <v>0.95000000000000029</v>
      </c>
      <c r="W33" s="1461">
        <f t="shared" ca="1" si="3"/>
        <v>1.3533141600268697</v>
      </c>
      <c r="X33" s="1096"/>
      <c r="Y33" s="1096"/>
      <c r="Z33" s="1096"/>
      <c r="AA33" s="1096"/>
      <c r="AB33" s="1096"/>
      <c r="AC33" s="1096"/>
      <c r="AD33" s="1096"/>
      <c r="AE33" s="1096"/>
      <c r="AF33" s="1096"/>
      <c r="AG33" s="1096"/>
      <c r="AH33" s="1096"/>
      <c r="AI33" s="1096"/>
      <c r="AJ33" s="1096"/>
      <c r="AK33" s="1096"/>
      <c r="AL33" s="1096"/>
      <c r="AM33" s="1096"/>
      <c r="AN33" s="1096"/>
      <c r="AO33" s="1096"/>
      <c r="AP33" s="1096"/>
      <c r="AQ33" s="1096"/>
      <c r="AR33" s="1096"/>
      <c r="AS33" s="1096"/>
      <c r="AT33" s="1096"/>
      <c r="AU33" s="1096"/>
      <c r="AV33" s="1096"/>
      <c r="AW33" s="1096"/>
      <c r="AX33" s="1096"/>
      <c r="AY33" s="1096"/>
      <c r="AZ33" s="1096"/>
      <c r="BA33" s="1096"/>
      <c r="BB33" s="1096"/>
      <c r="BC33" s="1096"/>
      <c r="BD33" s="1096"/>
      <c r="BE33" s="1096"/>
      <c r="BF33" s="1096"/>
      <c r="BG33" s="1096"/>
      <c r="BH33" s="1096"/>
      <c r="BI33" s="1096"/>
      <c r="BJ33" s="1096"/>
      <c r="BK33" s="1096"/>
      <c r="BL33" s="1096"/>
      <c r="BM33" s="1096"/>
      <c r="BN33" s="1096"/>
      <c r="BO33" s="1096"/>
      <c r="BP33" s="1096"/>
      <c r="BQ33" s="1096"/>
      <c r="BR33" s="1096"/>
      <c r="BS33" s="1096"/>
      <c r="BT33" s="1096"/>
      <c r="BU33" s="1096"/>
    </row>
    <row r="34" spans="1:73" x14ac:dyDescent="0.25">
      <c r="A34" s="1096"/>
      <c r="B34" s="1096"/>
      <c r="C34" s="1096"/>
      <c r="D34" s="1096"/>
      <c r="E34" s="1096"/>
      <c r="F34" s="1096"/>
      <c r="G34" s="1096"/>
      <c r="H34" s="1096"/>
      <c r="I34" s="1096"/>
      <c r="J34" s="1096"/>
      <c r="K34" s="1096"/>
      <c r="L34" s="1096"/>
      <c r="M34" s="1096"/>
      <c r="N34" s="1096"/>
      <c r="O34" s="1096"/>
      <c r="P34" s="1096"/>
      <c r="Q34" s="1096"/>
      <c r="R34" s="1096"/>
      <c r="S34" s="1096"/>
      <c r="T34" s="1096"/>
      <c r="U34" s="1096"/>
      <c r="V34" s="1459">
        <v>1</v>
      </c>
      <c r="W34" s="1110">
        <f ca="1">+MAX(OFFSET($B$251:$B$2250,0,$C$194))*$C$198</f>
        <v>1.3742115915030395</v>
      </c>
      <c r="X34" s="1096"/>
      <c r="Y34" s="1096"/>
      <c r="Z34" s="1096"/>
      <c r="AA34" s="1096"/>
      <c r="AB34" s="1096"/>
      <c r="AC34" s="1096"/>
      <c r="AD34" s="1096"/>
      <c r="AE34" s="1096"/>
      <c r="AF34" s="1096"/>
      <c r="AG34" s="1096"/>
      <c r="AH34" s="1096"/>
      <c r="AI34" s="1096"/>
      <c r="AJ34" s="1096"/>
      <c r="AK34" s="1096"/>
      <c r="AL34" s="1096"/>
      <c r="AM34" s="1096"/>
      <c r="AN34" s="1096"/>
      <c r="AO34" s="1096"/>
      <c r="AP34" s="1096"/>
      <c r="AQ34" s="1096"/>
      <c r="AR34" s="1096"/>
      <c r="AS34" s="1096"/>
      <c r="AT34" s="1096"/>
      <c r="AU34" s="1096"/>
      <c r="AV34" s="1096"/>
      <c r="AW34" s="1096"/>
      <c r="AX34" s="1096"/>
      <c r="AY34" s="1096"/>
      <c r="AZ34" s="1096"/>
      <c r="BA34" s="1096"/>
      <c r="BB34" s="1096"/>
      <c r="BC34" s="1096"/>
      <c r="BD34" s="1096"/>
      <c r="BE34" s="1096"/>
      <c r="BF34" s="1096"/>
      <c r="BG34" s="1096"/>
      <c r="BH34" s="1096"/>
      <c r="BI34" s="1096"/>
      <c r="BJ34" s="1096"/>
      <c r="BK34" s="1096"/>
      <c r="BL34" s="1096"/>
      <c r="BM34" s="1096"/>
      <c r="BN34" s="1096"/>
      <c r="BO34" s="1096"/>
      <c r="BP34" s="1096"/>
      <c r="BQ34" s="1096"/>
      <c r="BR34" s="1096"/>
      <c r="BS34" s="1096"/>
      <c r="BT34" s="1096"/>
      <c r="BU34" s="1096"/>
    </row>
    <row r="35" spans="1:73" ht="13" x14ac:dyDescent="0.3">
      <c r="A35" s="1096"/>
      <c r="B35" s="1096"/>
      <c r="C35" s="1096"/>
      <c r="D35" s="1096"/>
      <c r="E35" s="1096"/>
      <c r="F35" s="1096"/>
      <c r="G35" s="1096"/>
      <c r="H35" s="1096"/>
      <c r="I35" s="1096"/>
      <c r="J35" s="1096"/>
      <c r="K35" s="1096"/>
      <c r="L35" s="1096"/>
      <c r="M35" s="1231"/>
      <c r="N35" s="1096"/>
      <c r="O35" s="1096"/>
      <c r="P35" s="1096"/>
      <c r="Q35" s="1096"/>
      <c r="R35" s="1096"/>
      <c r="S35" s="1096"/>
      <c r="T35" s="1096"/>
      <c r="U35" s="1096"/>
      <c r="V35" s="1096"/>
      <c r="W35" s="1096"/>
      <c r="X35" s="1096"/>
      <c r="Y35" s="1096"/>
      <c r="Z35" s="1096"/>
      <c r="AA35" s="1096"/>
      <c r="AB35" s="1096"/>
      <c r="AC35" s="1096"/>
      <c r="AD35" s="1096"/>
      <c r="AE35" s="1096"/>
      <c r="AF35" s="1096"/>
      <c r="AG35" s="1096"/>
      <c r="AH35" s="1096"/>
      <c r="AI35" s="1096"/>
      <c r="AJ35" s="1096"/>
      <c r="AK35" s="1096"/>
      <c r="AL35" s="1096"/>
      <c r="AM35" s="1096"/>
      <c r="AN35" s="1096"/>
      <c r="AO35" s="1096"/>
      <c r="AP35" s="1096"/>
      <c r="AQ35" s="1096"/>
      <c r="AR35" s="1096"/>
      <c r="AS35" s="1096"/>
      <c r="AT35" s="1096"/>
      <c r="AU35" s="1096"/>
      <c r="AV35" s="1096"/>
      <c r="AW35" s="1096"/>
      <c r="AX35" s="1096"/>
      <c r="AY35" s="1096"/>
      <c r="AZ35" s="1096"/>
      <c r="BA35" s="1096"/>
      <c r="BB35" s="1096"/>
      <c r="BC35" s="1096"/>
      <c r="BD35" s="1096"/>
      <c r="BE35" s="1096"/>
      <c r="BF35" s="1096"/>
      <c r="BG35" s="1096"/>
      <c r="BH35" s="1096"/>
      <c r="BI35" s="1096"/>
      <c r="BJ35" s="1096"/>
      <c r="BK35" s="1096"/>
      <c r="BL35" s="1096"/>
      <c r="BM35" s="1096"/>
      <c r="BN35" s="1096"/>
      <c r="BO35" s="1096"/>
      <c r="BP35" s="1096"/>
      <c r="BQ35" s="1096"/>
      <c r="BR35" s="1096"/>
      <c r="BS35" s="1096"/>
      <c r="BT35" s="1096"/>
      <c r="BU35" s="1096"/>
    </row>
    <row r="36" spans="1:73" x14ac:dyDescent="0.25">
      <c r="A36" s="1096"/>
      <c r="B36" s="1096"/>
      <c r="C36" s="1096"/>
      <c r="D36" s="1096"/>
      <c r="E36" s="1096"/>
      <c r="F36" s="1096"/>
      <c r="G36" s="1096"/>
      <c r="H36" s="1096"/>
      <c r="I36" s="1096"/>
      <c r="J36" s="1096"/>
      <c r="K36" s="1096"/>
      <c r="L36" s="1096"/>
      <c r="M36" s="1096"/>
      <c r="N36" s="1096"/>
      <c r="O36" s="1096"/>
      <c r="P36" s="1096"/>
      <c r="Q36" s="1096"/>
      <c r="R36" s="1096"/>
      <c r="S36" s="1096"/>
      <c r="T36" s="1096"/>
      <c r="U36" s="1096"/>
      <c r="V36" s="1096"/>
      <c r="W36" s="1096"/>
      <c r="X36" s="1096"/>
      <c r="Y36" s="1096"/>
      <c r="Z36" s="1096"/>
      <c r="AA36" s="1096"/>
      <c r="AB36" s="1096"/>
      <c r="AC36" s="1096"/>
      <c r="AD36" s="1096"/>
      <c r="AE36" s="1096"/>
      <c r="AF36" s="1096"/>
      <c r="AG36" s="1096"/>
      <c r="AH36" s="1096"/>
      <c r="AI36" s="1096"/>
      <c r="AJ36" s="1096"/>
      <c r="AK36" s="1096"/>
      <c r="AL36" s="1096"/>
      <c r="AM36" s="1096"/>
      <c r="AN36" s="1096"/>
      <c r="AO36" s="1096"/>
      <c r="AP36" s="1096"/>
      <c r="AQ36" s="1096"/>
      <c r="AR36" s="1096"/>
      <c r="AS36" s="1096"/>
      <c r="AT36" s="1096"/>
      <c r="AU36" s="1096"/>
      <c r="AV36" s="1096"/>
      <c r="AW36" s="1096"/>
      <c r="AX36" s="1096"/>
      <c r="AY36" s="1096"/>
      <c r="AZ36" s="1096"/>
      <c r="BA36" s="1096"/>
      <c r="BB36" s="1096"/>
      <c r="BC36" s="1096"/>
      <c r="BD36" s="1096"/>
      <c r="BE36" s="1096"/>
      <c r="BF36" s="1096"/>
      <c r="BG36" s="1096"/>
      <c r="BH36" s="1096"/>
      <c r="BI36" s="1096"/>
      <c r="BJ36" s="1096"/>
      <c r="BK36" s="1096"/>
      <c r="BL36" s="1096"/>
      <c r="BM36" s="1096"/>
      <c r="BN36" s="1096"/>
      <c r="BO36" s="1096"/>
      <c r="BP36" s="1096"/>
      <c r="BQ36" s="1096"/>
      <c r="BR36" s="1096"/>
      <c r="BS36" s="1096"/>
      <c r="BT36" s="1096"/>
      <c r="BU36" s="1096"/>
    </row>
    <row r="37" spans="1:73" x14ac:dyDescent="0.25">
      <c r="A37" s="1096"/>
      <c r="B37" s="1096"/>
      <c r="C37" s="1096"/>
      <c r="D37" s="1096"/>
      <c r="E37" s="1096"/>
      <c r="F37" s="1096"/>
      <c r="G37" s="1096"/>
      <c r="H37" s="1096"/>
      <c r="I37" s="1096"/>
      <c r="J37" s="1096"/>
      <c r="K37" s="1096"/>
      <c r="L37" s="1096"/>
      <c r="M37" s="1096"/>
      <c r="N37" s="1096"/>
      <c r="O37" s="1096"/>
      <c r="P37" s="1096"/>
      <c r="Q37" s="1096"/>
      <c r="R37" s="1096"/>
      <c r="S37" s="1096"/>
      <c r="T37" s="1096"/>
      <c r="U37" s="1096"/>
      <c r="V37" s="1096"/>
      <c r="W37" s="1096"/>
      <c r="X37" s="1096"/>
      <c r="Y37" s="1096"/>
      <c r="Z37" s="1096"/>
      <c r="AA37" s="1096"/>
      <c r="AB37" s="1096"/>
      <c r="AC37" s="1096"/>
      <c r="AD37" s="1096"/>
      <c r="AE37" s="1096"/>
      <c r="AF37" s="1096"/>
      <c r="AG37" s="1096"/>
      <c r="AH37" s="1096"/>
      <c r="AI37" s="1096"/>
      <c r="AJ37" s="1096"/>
      <c r="AK37" s="1096"/>
      <c r="AL37" s="1096"/>
      <c r="AM37" s="1096"/>
      <c r="AN37" s="1096"/>
      <c r="AO37" s="1096"/>
      <c r="AP37" s="1096"/>
      <c r="AQ37" s="1096"/>
      <c r="AR37" s="1096"/>
      <c r="AS37" s="1096"/>
      <c r="AT37" s="1096"/>
      <c r="AU37" s="1096"/>
      <c r="AV37" s="1096"/>
      <c r="AW37" s="1096"/>
      <c r="AX37" s="1096"/>
      <c r="AY37" s="1096"/>
      <c r="AZ37" s="1096"/>
      <c r="BA37" s="1096"/>
      <c r="BB37" s="1096"/>
      <c r="BC37" s="1096"/>
      <c r="BD37" s="1096"/>
      <c r="BE37" s="1096"/>
      <c r="BF37" s="1096"/>
      <c r="BG37" s="1096"/>
      <c r="BH37" s="1096"/>
      <c r="BI37" s="1096"/>
      <c r="BJ37" s="1096"/>
      <c r="BK37" s="1096"/>
      <c r="BL37" s="1096"/>
      <c r="BM37" s="1096"/>
      <c r="BN37" s="1096"/>
      <c r="BO37" s="1096"/>
      <c r="BP37" s="1096"/>
      <c r="BQ37" s="1096"/>
      <c r="BR37" s="1096"/>
      <c r="BS37" s="1096"/>
      <c r="BT37" s="1096"/>
      <c r="BU37" s="1096"/>
    </row>
    <row r="38" spans="1:73" x14ac:dyDescent="0.25">
      <c r="A38" s="1096"/>
      <c r="B38" s="1096"/>
      <c r="C38" s="1096"/>
      <c r="D38" s="1096"/>
      <c r="E38" s="1096"/>
      <c r="F38" s="1096"/>
      <c r="G38" s="1096"/>
      <c r="H38" s="1096"/>
      <c r="I38" s="1096"/>
      <c r="J38" s="1096"/>
      <c r="K38" s="1096"/>
      <c r="L38" s="1096"/>
      <c r="M38" s="1096"/>
      <c r="N38" s="1096"/>
      <c r="O38" s="1096"/>
      <c r="P38" s="1096"/>
      <c r="Q38" s="1096"/>
      <c r="R38" s="1096"/>
      <c r="S38" s="1096"/>
      <c r="T38" s="1096"/>
      <c r="U38" s="1096"/>
      <c r="V38" s="1096"/>
      <c r="W38" s="1096"/>
      <c r="X38" s="1096"/>
      <c r="Y38" s="1096"/>
      <c r="Z38" s="1096"/>
      <c r="AA38" s="1096"/>
      <c r="AB38" s="1096"/>
      <c r="AC38" s="1096"/>
      <c r="AD38" s="1096"/>
      <c r="AE38" s="1096"/>
      <c r="AF38" s="1096"/>
      <c r="AG38" s="1096"/>
      <c r="AH38" s="1096"/>
      <c r="AI38" s="1096"/>
      <c r="AJ38" s="1096"/>
      <c r="AK38" s="1096"/>
      <c r="AL38" s="1096"/>
      <c r="AM38" s="1096"/>
      <c r="AN38" s="1096"/>
      <c r="AO38" s="1096"/>
      <c r="AP38" s="1096"/>
      <c r="AQ38" s="1096"/>
      <c r="AR38" s="1096"/>
      <c r="AS38" s="1096"/>
      <c r="AT38" s="1096"/>
      <c r="AU38" s="1096"/>
      <c r="AV38" s="1096"/>
      <c r="AW38" s="1096"/>
      <c r="AX38" s="1096"/>
      <c r="AY38" s="1096"/>
      <c r="AZ38" s="1096"/>
      <c r="BA38" s="1096"/>
      <c r="BB38" s="1096"/>
      <c r="BC38" s="1096"/>
      <c r="BD38" s="1096"/>
      <c r="BE38" s="1096"/>
      <c r="BF38" s="1096"/>
      <c r="BG38" s="1096"/>
      <c r="BH38" s="1096"/>
      <c r="BI38" s="1096"/>
      <c r="BJ38" s="1096"/>
      <c r="BK38" s="1096"/>
      <c r="BL38" s="1096"/>
      <c r="BM38" s="1096"/>
      <c r="BN38" s="1096"/>
      <c r="BO38" s="1096"/>
      <c r="BP38" s="1096"/>
      <c r="BQ38" s="1096"/>
      <c r="BR38" s="1096"/>
      <c r="BS38" s="1096"/>
      <c r="BT38" s="1096"/>
      <c r="BU38" s="1096"/>
    </row>
    <row r="39" spans="1:73" x14ac:dyDescent="0.25">
      <c r="A39" s="1096"/>
      <c r="B39" s="1096"/>
      <c r="C39" s="1096"/>
      <c r="D39" s="1096"/>
      <c r="E39" s="1096"/>
      <c r="F39" s="1096"/>
      <c r="G39" s="1096"/>
      <c r="H39" s="1096"/>
      <c r="I39" s="1096"/>
      <c r="J39" s="1096"/>
      <c r="K39" s="1096"/>
      <c r="L39" s="1096"/>
      <c r="M39" s="1096"/>
      <c r="N39" s="1096"/>
      <c r="O39" s="1096"/>
      <c r="P39" s="1096"/>
      <c r="Q39" s="1096"/>
      <c r="R39" s="1096"/>
      <c r="S39" s="1096"/>
      <c r="T39" s="1096"/>
      <c r="U39" s="1096"/>
      <c r="V39" s="1096"/>
      <c r="W39" s="1096"/>
      <c r="X39" s="1096"/>
      <c r="Y39" s="1096"/>
      <c r="Z39" s="1096"/>
      <c r="AA39" s="1096"/>
      <c r="AB39" s="1096"/>
      <c r="AC39" s="1096"/>
      <c r="AD39" s="1096"/>
      <c r="AE39" s="1096"/>
      <c r="AF39" s="1096"/>
      <c r="AG39" s="1096"/>
      <c r="AH39" s="1096"/>
      <c r="AI39" s="1096"/>
      <c r="AJ39" s="1096"/>
      <c r="AK39" s="1096"/>
      <c r="AL39" s="1096"/>
      <c r="AM39" s="1096"/>
      <c r="AN39" s="1096"/>
      <c r="AO39" s="1096"/>
      <c r="AP39" s="1096"/>
      <c r="AQ39" s="1096"/>
      <c r="AR39" s="1096"/>
      <c r="AS39" s="1096"/>
      <c r="AT39" s="1096"/>
      <c r="AU39" s="1096"/>
      <c r="AV39" s="1096"/>
      <c r="AW39" s="1096"/>
      <c r="AX39" s="1096"/>
      <c r="AY39" s="1096"/>
      <c r="AZ39" s="1096"/>
      <c r="BA39" s="1096"/>
      <c r="BB39" s="1096"/>
      <c r="BC39" s="1096"/>
      <c r="BD39" s="1096"/>
      <c r="BE39" s="1096"/>
      <c r="BF39" s="1096"/>
      <c r="BG39" s="1096"/>
      <c r="BH39" s="1096"/>
      <c r="BI39" s="1096"/>
      <c r="BJ39" s="1096"/>
      <c r="BK39" s="1096"/>
      <c r="BL39" s="1096"/>
      <c r="BM39" s="1096"/>
      <c r="BN39" s="1096"/>
      <c r="BO39" s="1096"/>
      <c r="BP39" s="1096"/>
      <c r="BQ39" s="1096"/>
      <c r="BR39" s="1096"/>
      <c r="BS39" s="1096"/>
      <c r="BT39" s="1096"/>
      <c r="BU39" s="1096"/>
    </row>
    <row r="40" spans="1:73" x14ac:dyDescent="0.25">
      <c r="A40" s="1096"/>
      <c r="B40" s="1096"/>
      <c r="C40" s="1096"/>
      <c r="D40" s="1096"/>
      <c r="E40" s="1096"/>
      <c r="F40" s="1096"/>
      <c r="G40" s="1096"/>
      <c r="H40" s="1096"/>
      <c r="I40" s="1096"/>
      <c r="J40" s="1096"/>
      <c r="K40" s="1096"/>
      <c r="L40" s="1096"/>
      <c r="M40" s="1096"/>
      <c r="N40" s="1096"/>
      <c r="O40" s="1096"/>
      <c r="P40" s="1096"/>
      <c r="Q40" s="1096"/>
      <c r="R40" s="1096"/>
      <c r="S40" s="1096"/>
      <c r="T40" s="1096"/>
      <c r="U40" s="1096"/>
      <c r="V40" s="1096"/>
      <c r="W40" s="1096"/>
      <c r="X40" s="1096"/>
      <c r="Y40" s="1096"/>
      <c r="Z40" s="1096"/>
      <c r="AA40" s="1096"/>
      <c r="AB40" s="1096"/>
      <c r="AC40" s="1096"/>
      <c r="AD40" s="1096"/>
      <c r="AE40" s="1096"/>
      <c r="AF40" s="1096"/>
      <c r="AG40" s="1096"/>
      <c r="AH40" s="1096"/>
      <c r="AI40" s="1096"/>
      <c r="AJ40" s="1096"/>
      <c r="AK40" s="1096"/>
      <c r="AL40" s="1096"/>
      <c r="AM40" s="1096"/>
      <c r="AN40" s="1096"/>
      <c r="AO40" s="1096"/>
      <c r="AP40" s="1096"/>
      <c r="AQ40" s="1096"/>
      <c r="AR40" s="1096"/>
      <c r="AS40" s="1096"/>
      <c r="AT40" s="1096"/>
      <c r="AU40" s="1096"/>
      <c r="AV40" s="1096"/>
      <c r="AW40" s="1096"/>
      <c r="AX40" s="1096"/>
      <c r="AY40" s="1096"/>
      <c r="AZ40" s="1096"/>
      <c r="BA40" s="1096"/>
      <c r="BB40" s="1096"/>
      <c r="BC40" s="1096"/>
      <c r="BD40" s="1096"/>
      <c r="BE40" s="1096"/>
      <c r="BF40" s="1096"/>
      <c r="BG40" s="1096"/>
      <c r="BH40" s="1096"/>
      <c r="BI40" s="1096"/>
      <c r="BJ40" s="1096"/>
      <c r="BK40" s="1096"/>
      <c r="BL40" s="1096"/>
      <c r="BM40" s="1096"/>
      <c r="BN40" s="1096"/>
      <c r="BO40" s="1096"/>
      <c r="BP40" s="1096"/>
      <c r="BQ40" s="1096"/>
      <c r="BR40" s="1096"/>
      <c r="BS40" s="1096"/>
      <c r="BT40" s="1096"/>
      <c r="BU40" s="1096"/>
    </row>
    <row r="41" spans="1:73" x14ac:dyDescent="0.25">
      <c r="A41" s="1096"/>
      <c r="B41" s="1096"/>
      <c r="C41" s="1096"/>
      <c r="D41" s="1096"/>
      <c r="E41" s="1096"/>
      <c r="F41" s="1096"/>
      <c r="G41" s="1096"/>
      <c r="H41" s="1096"/>
      <c r="I41" s="1096"/>
      <c r="J41" s="1096"/>
      <c r="K41" s="1096"/>
      <c r="L41" s="1096"/>
      <c r="M41" s="1096"/>
      <c r="N41" s="1096"/>
      <c r="O41" s="1096"/>
      <c r="P41" s="1096"/>
      <c r="Q41" s="1096"/>
      <c r="R41" s="1096"/>
      <c r="S41" s="1096"/>
      <c r="T41" s="1096"/>
      <c r="U41" s="1096"/>
      <c r="V41" s="1096"/>
      <c r="W41" s="1096"/>
      <c r="X41" s="1096"/>
      <c r="Y41" s="1096"/>
      <c r="Z41" s="1096"/>
      <c r="AA41" s="1096"/>
      <c r="AB41" s="1096"/>
      <c r="AC41" s="1096"/>
      <c r="AD41" s="1096"/>
      <c r="AE41" s="1096"/>
      <c r="AF41" s="1096"/>
      <c r="AG41" s="1096"/>
      <c r="AH41" s="1096"/>
      <c r="AI41" s="1096"/>
      <c r="AJ41" s="1096"/>
      <c r="AK41" s="1096"/>
      <c r="AL41" s="1096"/>
      <c r="AM41" s="1096"/>
      <c r="AN41" s="1096"/>
      <c r="AO41" s="1096"/>
      <c r="AP41" s="1096"/>
      <c r="AQ41" s="1096"/>
      <c r="AR41" s="1096"/>
      <c r="AS41" s="1096"/>
      <c r="AT41" s="1096"/>
      <c r="AU41" s="1096"/>
      <c r="AV41" s="1096"/>
      <c r="AW41" s="1096"/>
      <c r="AX41" s="1096"/>
      <c r="AY41" s="1096"/>
      <c r="AZ41" s="1096"/>
      <c r="BA41" s="1096"/>
      <c r="BB41" s="1096"/>
      <c r="BC41" s="1096"/>
      <c r="BD41" s="1096"/>
      <c r="BE41" s="1096"/>
      <c r="BF41" s="1096"/>
      <c r="BG41" s="1096"/>
      <c r="BH41" s="1096"/>
      <c r="BI41" s="1096"/>
      <c r="BJ41" s="1096"/>
      <c r="BK41" s="1096"/>
      <c r="BL41" s="1096"/>
      <c r="BM41" s="1096"/>
      <c r="BN41" s="1096"/>
      <c r="BO41" s="1096"/>
      <c r="BP41" s="1096"/>
      <c r="BQ41" s="1096"/>
      <c r="BR41" s="1096"/>
      <c r="BS41" s="1096"/>
      <c r="BT41" s="1096"/>
      <c r="BU41" s="1096"/>
    </row>
    <row r="42" spans="1:73" x14ac:dyDescent="0.25">
      <c r="A42" s="1096"/>
      <c r="B42" s="1096"/>
      <c r="C42" s="1096"/>
      <c r="D42" s="1096"/>
      <c r="E42" s="1096"/>
      <c r="F42" s="1096"/>
      <c r="G42" s="1096"/>
      <c r="H42" s="1096"/>
      <c r="I42" s="1096"/>
      <c r="J42" s="1096"/>
      <c r="K42" s="1096"/>
      <c r="L42" s="1096"/>
      <c r="M42" s="1096"/>
      <c r="N42" s="1096"/>
      <c r="O42" s="1096"/>
      <c r="P42" s="1096"/>
      <c r="Q42" s="1096"/>
      <c r="R42" s="1096"/>
      <c r="S42" s="1096"/>
      <c r="T42" s="1096"/>
      <c r="U42" s="1096"/>
      <c r="V42" s="1096"/>
      <c r="W42" s="1096"/>
      <c r="X42" s="1096"/>
      <c r="Y42" s="1096"/>
      <c r="Z42" s="1096"/>
      <c r="AA42" s="1096"/>
      <c r="AB42" s="1096"/>
      <c r="AC42" s="1096"/>
      <c r="AD42" s="1096"/>
      <c r="AE42" s="1096"/>
      <c r="AF42" s="1096"/>
      <c r="AG42" s="1096"/>
      <c r="AH42" s="1096"/>
      <c r="AI42" s="1096"/>
      <c r="AJ42" s="1096"/>
      <c r="AK42" s="1096"/>
      <c r="AL42" s="1096"/>
      <c r="AM42" s="1096"/>
      <c r="AN42" s="1096"/>
      <c r="AO42" s="1096"/>
      <c r="AP42" s="1096"/>
      <c r="AQ42" s="1096"/>
      <c r="AR42" s="1096"/>
      <c r="AS42" s="1096"/>
      <c r="AT42" s="1096"/>
      <c r="AU42" s="1096"/>
      <c r="AV42" s="1096"/>
      <c r="AW42" s="1096"/>
      <c r="AX42" s="1096"/>
      <c r="AY42" s="1096"/>
      <c r="AZ42" s="1096"/>
      <c r="BA42" s="1096"/>
      <c r="BB42" s="1096"/>
      <c r="BC42" s="1096"/>
      <c r="BD42" s="1096"/>
      <c r="BE42" s="1096"/>
      <c r="BF42" s="1096"/>
      <c r="BG42" s="1096"/>
      <c r="BH42" s="1096"/>
      <c r="BI42" s="1096"/>
      <c r="BJ42" s="1096"/>
      <c r="BK42" s="1096"/>
      <c r="BL42" s="1096"/>
      <c r="BM42" s="1096"/>
      <c r="BN42" s="1096"/>
      <c r="BO42" s="1096"/>
      <c r="BP42" s="1096"/>
      <c r="BQ42" s="1096"/>
      <c r="BR42" s="1096"/>
      <c r="BS42" s="1096"/>
      <c r="BT42" s="1096"/>
      <c r="BU42" s="1096"/>
    </row>
    <row r="43" spans="1:73" x14ac:dyDescent="0.25">
      <c r="A43" s="1096"/>
      <c r="B43" s="1096"/>
      <c r="C43" s="1096"/>
      <c r="D43" s="1096"/>
      <c r="E43" s="1096"/>
      <c r="F43" s="1096"/>
      <c r="G43" s="1096"/>
      <c r="H43" s="1096"/>
      <c r="I43" s="1096"/>
      <c r="J43" s="1096"/>
      <c r="K43" s="1096"/>
      <c r="L43" s="1096"/>
      <c r="M43" s="1096"/>
      <c r="N43" s="1096"/>
      <c r="O43" s="1096"/>
      <c r="P43" s="1096"/>
      <c r="Q43" s="1096"/>
      <c r="R43" s="1096"/>
      <c r="S43" s="1096"/>
      <c r="T43" s="1096"/>
      <c r="U43" s="1096"/>
      <c r="V43" s="1096"/>
      <c r="W43" s="1096"/>
      <c r="X43" s="1096"/>
      <c r="Y43" s="1096"/>
      <c r="Z43" s="1096"/>
      <c r="AA43" s="1096"/>
      <c r="AB43" s="1096"/>
      <c r="AC43" s="1096"/>
      <c r="AD43" s="1096"/>
      <c r="AE43" s="1096"/>
      <c r="AF43" s="1096"/>
      <c r="AG43" s="1096"/>
      <c r="AH43" s="1096"/>
      <c r="AI43" s="1096"/>
      <c r="AJ43" s="1096"/>
      <c r="AK43" s="1096"/>
      <c r="AL43" s="1096"/>
      <c r="AM43" s="1096"/>
      <c r="AN43" s="1096"/>
      <c r="AO43" s="1096"/>
      <c r="AP43" s="1096"/>
      <c r="AQ43" s="1096"/>
      <c r="AR43" s="1096"/>
      <c r="AS43" s="1096"/>
      <c r="AT43" s="1096"/>
      <c r="AU43" s="1096"/>
      <c r="AV43" s="1096"/>
      <c r="AW43" s="1096"/>
      <c r="AX43" s="1096"/>
      <c r="AY43" s="1096"/>
      <c r="AZ43" s="1096"/>
      <c r="BA43" s="1096"/>
      <c r="BB43" s="1096"/>
      <c r="BC43" s="1096"/>
      <c r="BD43" s="1096"/>
      <c r="BE43" s="1096"/>
      <c r="BF43" s="1096"/>
      <c r="BG43" s="1096"/>
      <c r="BH43" s="1096"/>
      <c r="BI43" s="1096"/>
      <c r="BJ43" s="1096"/>
      <c r="BK43" s="1096"/>
      <c r="BL43" s="1096"/>
      <c r="BM43" s="1096"/>
      <c r="BN43" s="1096"/>
      <c r="BO43" s="1096"/>
      <c r="BP43" s="1096"/>
      <c r="BQ43" s="1096"/>
      <c r="BR43" s="1096"/>
      <c r="BS43" s="1096"/>
      <c r="BT43" s="1096"/>
      <c r="BU43" s="1096"/>
    </row>
    <row r="44" spans="1:73" x14ac:dyDescent="0.25">
      <c r="A44" s="1096"/>
      <c r="B44" s="1096"/>
      <c r="C44" s="1096"/>
      <c r="D44" s="1096"/>
      <c r="E44" s="1096"/>
      <c r="F44" s="1096"/>
      <c r="G44" s="1096"/>
      <c r="H44" s="1096"/>
      <c r="I44" s="1096"/>
      <c r="J44" s="1096"/>
      <c r="K44" s="1096"/>
      <c r="L44" s="1096"/>
      <c r="M44" s="1096"/>
      <c r="N44" s="1096"/>
      <c r="O44" s="1096"/>
      <c r="P44" s="1096"/>
      <c r="Q44" s="1096"/>
      <c r="R44" s="1096"/>
      <c r="S44" s="1096"/>
      <c r="T44" s="1096"/>
      <c r="U44" s="1096"/>
      <c r="V44" s="1096"/>
      <c r="W44" s="1096"/>
      <c r="X44" s="1096"/>
      <c r="Y44" s="1096"/>
      <c r="Z44" s="1096"/>
      <c r="AA44" s="1096"/>
      <c r="AB44" s="1096"/>
      <c r="AC44" s="1096"/>
      <c r="AD44" s="1096"/>
      <c r="AE44" s="1096"/>
      <c r="AF44" s="1096"/>
      <c r="AG44" s="1096"/>
      <c r="AH44" s="1096"/>
      <c r="AI44" s="1096"/>
      <c r="AJ44" s="1096"/>
      <c r="AK44" s="1096"/>
      <c r="AL44" s="1096"/>
      <c r="AM44" s="1096"/>
      <c r="AN44" s="1096"/>
      <c r="AO44" s="1096"/>
      <c r="AP44" s="1096"/>
      <c r="AQ44" s="1096"/>
      <c r="AR44" s="1096"/>
      <c r="AS44" s="1096"/>
      <c r="AT44" s="1096"/>
      <c r="AU44" s="1096"/>
      <c r="AV44" s="1096"/>
      <c r="AW44" s="1096"/>
      <c r="AX44" s="1096"/>
      <c r="AY44" s="1096"/>
      <c r="AZ44" s="1096"/>
      <c r="BA44" s="1096"/>
      <c r="BB44" s="1096"/>
      <c r="BC44" s="1096"/>
      <c r="BD44" s="1096"/>
      <c r="BE44" s="1096"/>
      <c r="BF44" s="1096"/>
      <c r="BG44" s="1096"/>
      <c r="BH44" s="1096"/>
      <c r="BI44" s="1096"/>
      <c r="BJ44" s="1096"/>
      <c r="BK44" s="1096"/>
      <c r="BL44" s="1096"/>
      <c r="BM44" s="1096"/>
      <c r="BN44" s="1096"/>
      <c r="BO44" s="1096"/>
      <c r="BP44" s="1096"/>
      <c r="BQ44" s="1096"/>
      <c r="BR44" s="1096"/>
      <c r="BS44" s="1096"/>
      <c r="BT44" s="1096"/>
      <c r="BU44" s="1096"/>
    </row>
    <row r="45" spans="1:73" ht="13.5" thickBot="1" x14ac:dyDescent="0.35">
      <c r="A45" s="1096"/>
      <c r="B45" s="1194" t="s">
        <v>1322</v>
      </c>
      <c r="C45" s="1194"/>
      <c r="D45" s="1194"/>
      <c r="E45" s="1194"/>
      <c r="F45" s="1194"/>
      <c r="G45" s="1194"/>
      <c r="H45" s="1194"/>
      <c r="I45" s="1194"/>
      <c r="J45" s="1194"/>
      <c r="K45" s="1194"/>
      <c r="L45" s="1194"/>
      <c r="M45" s="1194"/>
      <c r="N45" s="1194"/>
      <c r="O45" s="1194"/>
      <c r="P45" s="1194"/>
      <c r="Q45" s="1194"/>
      <c r="R45" s="1194"/>
      <c r="S45" s="1194"/>
      <c r="T45" s="1194"/>
      <c r="U45" s="1194"/>
      <c r="V45" s="1194"/>
      <c r="W45" s="1194"/>
      <c r="X45" s="1194"/>
      <c r="Y45" s="1096"/>
      <c r="Z45" s="1096"/>
      <c r="AA45" s="1096"/>
      <c r="AB45" s="1096"/>
      <c r="AC45" s="1096"/>
      <c r="AD45" s="1096"/>
      <c r="AE45" s="1096"/>
      <c r="AF45" s="1096"/>
      <c r="AG45" s="1096"/>
      <c r="AH45" s="1096"/>
      <c r="AI45" s="1096"/>
      <c r="AJ45" s="1096"/>
      <c r="AK45" s="1096"/>
      <c r="AL45" s="1096"/>
      <c r="AM45" s="1096"/>
      <c r="AN45" s="1096"/>
      <c r="AO45" s="1096"/>
      <c r="AP45" s="1096"/>
      <c r="AQ45" s="1096"/>
      <c r="AR45" s="1096"/>
      <c r="AS45" s="1096"/>
      <c r="AT45" s="1096"/>
      <c r="AU45" s="1096"/>
      <c r="AV45" s="1096"/>
      <c r="AW45" s="1096"/>
      <c r="AX45" s="1096"/>
      <c r="AY45" s="1096"/>
      <c r="AZ45" s="1096"/>
      <c r="BA45" s="1096"/>
      <c r="BB45" s="1096"/>
      <c r="BC45" s="1096"/>
      <c r="BD45" s="1096"/>
      <c r="BE45" s="1096"/>
      <c r="BF45" s="1096"/>
      <c r="BG45" s="1096"/>
      <c r="BH45" s="1096"/>
      <c r="BI45" s="1096"/>
      <c r="BJ45" s="1096"/>
      <c r="BK45" s="1096"/>
      <c r="BL45" s="1096"/>
      <c r="BM45" s="1096"/>
      <c r="BN45" s="1096"/>
      <c r="BO45" s="1096"/>
      <c r="BP45" s="1096"/>
      <c r="BQ45" s="1096"/>
      <c r="BR45" s="1096"/>
      <c r="BS45" s="1096"/>
      <c r="BT45" s="1096"/>
      <c r="BU45" s="1096"/>
    </row>
    <row r="46" spans="1:73" ht="13" thickTop="1" x14ac:dyDescent="0.25">
      <c r="A46" s="1096"/>
      <c r="B46" s="1096"/>
      <c r="C46" s="1096"/>
      <c r="D46" s="1096"/>
      <c r="E46" s="1096"/>
      <c r="F46" s="1096"/>
      <c r="G46" s="1096"/>
      <c r="H46" s="1096"/>
      <c r="I46" s="1096"/>
      <c r="J46" s="1096"/>
      <c r="K46" s="1096"/>
      <c r="L46" s="1096"/>
      <c r="M46" s="1096"/>
      <c r="N46" s="1096"/>
      <c r="O46" s="1096"/>
      <c r="P46" s="1096"/>
      <c r="Q46" s="1096"/>
      <c r="R46" s="1096"/>
      <c r="S46" s="1096"/>
      <c r="T46" s="1096"/>
      <c r="U46" s="1096"/>
      <c r="V46" s="1096"/>
      <c r="W46" s="1096"/>
      <c r="X46" s="1096"/>
      <c r="Y46" s="1096"/>
      <c r="Z46" s="1096"/>
      <c r="AA46" s="1096"/>
      <c r="AB46" s="1096"/>
      <c r="AC46" s="1096"/>
      <c r="AD46" s="1096"/>
      <c r="AE46" s="1096"/>
      <c r="AF46" s="1096"/>
      <c r="AG46" s="1096"/>
      <c r="AH46" s="1096"/>
      <c r="AI46" s="1096"/>
      <c r="AJ46" s="1096"/>
      <c r="AK46" s="1096"/>
      <c r="AL46" s="1096"/>
      <c r="AM46" s="1096"/>
      <c r="AN46" s="1096"/>
      <c r="AO46" s="1096"/>
      <c r="AP46" s="1096"/>
      <c r="AQ46" s="1096"/>
      <c r="AR46" s="1096"/>
      <c r="AS46" s="1096"/>
      <c r="AT46" s="1096"/>
      <c r="AU46" s="1096"/>
      <c r="AV46" s="1096"/>
      <c r="AW46" s="1096"/>
      <c r="AX46" s="1096"/>
      <c r="AY46" s="1096"/>
      <c r="AZ46" s="1096"/>
      <c r="BA46" s="1096"/>
      <c r="BB46" s="1096"/>
      <c r="BC46" s="1096"/>
      <c r="BD46" s="1096"/>
      <c r="BE46" s="1096"/>
      <c r="BF46" s="1096"/>
      <c r="BG46" s="1096"/>
      <c r="BH46" s="1096"/>
      <c r="BI46" s="1096"/>
      <c r="BJ46" s="1096"/>
      <c r="BK46" s="1096"/>
      <c r="BL46" s="1096"/>
      <c r="BM46" s="1096"/>
      <c r="BN46" s="1096"/>
      <c r="BO46" s="1096"/>
      <c r="BP46" s="1096"/>
      <c r="BQ46" s="1096"/>
      <c r="BR46" s="1096"/>
      <c r="BS46" s="1096"/>
      <c r="BT46" s="1096"/>
      <c r="BU46" s="1096"/>
    </row>
    <row r="47" spans="1:73" x14ac:dyDescent="0.25">
      <c r="A47" s="1096"/>
      <c r="B47" s="1111" t="s">
        <v>1153</v>
      </c>
      <c r="C47" s="1096"/>
      <c r="D47" s="1096"/>
      <c r="E47" s="1096"/>
      <c r="F47" s="1096"/>
      <c r="G47" s="1096"/>
      <c r="H47" s="1096"/>
      <c r="I47" s="1096"/>
      <c r="J47" s="1096"/>
      <c r="K47" s="1096"/>
      <c r="L47" s="1096"/>
      <c r="M47" s="1096"/>
      <c r="N47" s="1096"/>
      <c r="O47" s="1096"/>
      <c r="P47" s="1096"/>
      <c r="Q47" s="1096"/>
      <c r="R47" s="1096"/>
      <c r="S47" s="1096"/>
      <c r="T47" s="1096"/>
      <c r="U47" s="1096"/>
      <c r="V47" s="1096"/>
      <c r="W47" s="1096"/>
      <c r="X47" s="1096"/>
      <c r="Y47" s="1096"/>
      <c r="Z47" s="1096"/>
      <c r="AA47" s="1096"/>
      <c r="AB47" s="1096"/>
      <c r="AC47" s="1096"/>
      <c r="AD47" s="1096"/>
      <c r="AE47" s="1096"/>
      <c r="AF47" s="1096"/>
      <c r="AG47" s="1096"/>
      <c r="AH47" s="1096"/>
      <c r="AI47" s="1096"/>
      <c r="AJ47" s="1096"/>
      <c r="AK47" s="1096"/>
      <c r="AL47" s="1096"/>
      <c r="AM47" s="1096"/>
      <c r="AN47" s="1096"/>
      <c r="AO47" s="1096"/>
      <c r="AP47" s="1096"/>
      <c r="AQ47" s="1096"/>
      <c r="AR47" s="1096"/>
      <c r="AS47" s="1096"/>
      <c r="AT47" s="1096"/>
      <c r="AU47" s="1096"/>
      <c r="AV47" s="1096"/>
      <c r="AW47" s="1096"/>
      <c r="AX47" s="1096"/>
      <c r="AY47" s="1096"/>
      <c r="AZ47" s="1096"/>
      <c r="BA47" s="1096"/>
      <c r="BB47" s="1096"/>
      <c r="BC47" s="1096"/>
      <c r="BD47" s="1096"/>
      <c r="BE47" s="1096"/>
      <c r="BF47" s="1096"/>
      <c r="BG47" s="1096"/>
      <c r="BH47" s="1096"/>
      <c r="BI47" s="1096"/>
      <c r="BJ47" s="1096"/>
      <c r="BK47" s="1096"/>
      <c r="BL47" s="1096"/>
      <c r="BM47" s="1096"/>
      <c r="BN47" s="1096"/>
      <c r="BO47" s="1096"/>
      <c r="BP47" s="1096"/>
      <c r="BQ47" s="1096"/>
      <c r="BR47" s="1096"/>
      <c r="BS47" s="1096"/>
      <c r="BT47" s="1096"/>
      <c r="BU47" s="1096"/>
    </row>
    <row r="48" spans="1:73" x14ac:dyDescent="0.25">
      <c r="A48" s="1096"/>
      <c r="B48" s="1099">
        <v>1</v>
      </c>
      <c r="C48" s="1101">
        <f t="shared" ref="C48:E48" ca="1" si="5">+OFFSET(C50,$B$48,0)</f>
        <v>1</v>
      </c>
      <c r="D48" s="1101">
        <f t="shared" ca="1" si="5"/>
        <v>1</v>
      </c>
      <c r="E48" s="1101">
        <f t="shared" ca="1" si="5"/>
        <v>1</v>
      </c>
      <c r="F48" s="1101">
        <f ca="1">+OFFSET(F50,$B$48,0)</f>
        <v>1</v>
      </c>
      <c r="G48" s="1101">
        <f ca="1">+OFFSET(G50,$B$48,0)</f>
        <v>1</v>
      </c>
      <c r="H48" s="1101">
        <f ca="1">+OFFSET(H50,$B$48,0)</f>
        <v>1</v>
      </c>
      <c r="I48" s="1101">
        <f ca="1">+OFFSET(I50,$B$48,0)</f>
        <v>1</v>
      </c>
      <c r="J48" s="1096"/>
      <c r="K48" s="1113">
        <f ca="1">+'Cash Flow Analysis'!F118</f>
        <v>1.3158315472358189</v>
      </c>
      <c r="L48" s="1113">
        <f ca="1">+'Cash Flow Analysis'!Q118</f>
        <v>0</v>
      </c>
      <c r="M48" s="1113">
        <f ca="1">+'Cash Flow Analysis'!L118</f>
        <v>6.0102079727676302E-4</v>
      </c>
      <c r="N48" s="1113">
        <f ca="1">+'Cash Flow Analysis'!H117</f>
        <v>5.5266169313149496E-2</v>
      </c>
      <c r="O48" s="1113">
        <f ca="1">+'Cash Flow Analysis'!I117</f>
        <v>7.7619458215004659E-3</v>
      </c>
      <c r="P48" s="1113">
        <f ca="1">+'Cash Flow Analysis'!J117</f>
        <v>1.6240608594085239E-2</v>
      </c>
      <c r="Q48" s="1113">
        <f ca="1">+'Cash Flow Analysis'!K117</f>
        <v>4.4939791076757435E-4</v>
      </c>
      <c r="R48" s="1113">
        <f ca="1">+'Cash Flow Analysis'!M117</f>
        <v>5.9924728859570725E-4</v>
      </c>
      <c r="S48" s="1113">
        <f ca="1">+'Cash Flow Analysis'!N117</f>
        <v>6.0570412267480507E-2</v>
      </c>
      <c r="T48" s="1113">
        <f ca="1">+'Cash Flow Analysis'!O117</f>
        <v>1.0323787971615324</v>
      </c>
      <c r="U48" s="1113">
        <f ca="1">+'Cash Flow Analysis'!P117</f>
        <v>0</v>
      </c>
      <c r="V48" s="1113">
        <f ca="1">+'Cash Flow Analysis'!R117</f>
        <v>9.7719295943352394E-2</v>
      </c>
      <c r="W48" s="1113">
        <f ca="1">+'Cash Flow Analysis'!S117</f>
        <v>3.6306116293509466E-2</v>
      </c>
      <c r="X48" s="1113">
        <f ca="1">+'Cash Flow Analysis'!X117</f>
        <v>7.5096238613796707E-3</v>
      </c>
      <c r="Y48" s="1113">
        <f ca="1">+'Cash Flow Analysis'!Z117</f>
        <v>1.6309535777419199E-3</v>
      </c>
      <c r="Z48" s="1096"/>
      <c r="AA48" s="1096"/>
      <c r="AB48" s="1096"/>
      <c r="AC48" s="1096"/>
      <c r="AD48" s="1096"/>
      <c r="AE48" s="1096"/>
      <c r="AF48" s="1096"/>
      <c r="AG48" s="1096"/>
      <c r="AH48" s="1096"/>
      <c r="AI48" s="1096"/>
      <c r="AJ48" s="1096"/>
      <c r="AK48" s="1096"/>
      <c r="AL48" s="1096"/>
      <c r="AM48" s="1096"/>
      <c r="AN48" s="1096"/>
      <c r="AO48" s="1096"/>
      <c r="AP48" s="1096"/>
      <c r="AQ48" s="1096"/>
      <c r="AR48" s="1096"/>
      <c r="AS48" s="1096"/>
      <c r="AT48" s="1096"/>
      <c r="AU48" s="1096"/>
      <c r="AV48" s="1096"/>
      <c r="AW48" s="1096"/>
      <c r="AX48" s="1096"/>
      <c r="AY48" s="1096"/>
      <c r="AZ48" s="1096"/>
      <c r="BA48" s="1096"/>
      <c r="BB48" s="1096"/>
      <c r="BC48" s="1096"/>
      <c r="BD48" s="1096"/>
      <c r="BE48" s="1096"/>
      <c r="BF48" s="1096"/>
      <c r="BG48" s="1096"/>
      <c r="BH48" s="1096"/>
      <c r="BI48" s="1096"/>
      <c r="BJ48" s="1096"/>
      <c r="BK48" s="1096"/>
      <c r="BL48" s="1096"/>
      <c r="BM48" s="1096"/>
      <c r="BN48" s="1096"/>
      <c r="BO48" s="1096"/>
      <c r="BP48" s="1096"/>
      <c r="BQ48" s="1096"/>
      <c r="BR48" s="1096"/>
      <c r="BS48" s="1096"/>
      <c r="BT48" s="1096"/>
      <c r="BU48" s="1096"/>
    </row>
    <row r="49" spans="1:73" ht="13" x14ac:dyDescent="0.3">
      <c r="A49" s="1096"/>
      <c r="B49" s="1098"/>
      <c r="C49" s="1098"/>
      <c r="D49" s="1098"/>
      <c r="E49" s="1098"/>
      <c r="F49" s="1098"/>
      <c r="G49" s="1098"/>
      <c r="H49" s="1098"/>
      <c r="I49" s="1098"/>
      <c r="J49" s="1098"/>
      <c r="K49" s="1098"/>
      <c r="L49" s="1098"/>
      <c r="M49" s="1098"/>
      <c r="N49" s="1096"/>
      <c r="O49" s="1096"/>
      <c r="P49" s="1096"/>
      <c r="Q49" s="1096"/>
      <c r="R49" s="1096"/>
      <c r="S49" s="1096"/>
      <c r="T49" s="1096"/>
      <c r="U49" s="1096"/>
      <c r="V49" s="1096"/>
      <c r="W49" s="1096"/>
      <c r="X49" s="1096"/>
      <c r="Y49" s="1096"/>
      <c r="Z49" s="1096"/>
      <c r="AA49" s="1096"/>
      <c r="AB49" s="1096"/>
      <c r="AC49" s="1096"/>
      <c r="AD49" s="1096"/>
      <c r="AE49" s="1096"/>
      <c r="AF49" s="1096"/>
      <c r="AG49" s="1096"/>
      <c r="AH49" s="1096"/>
      <c r="AI49" s="1096"/>
      <c r="AJ49" s="1096"/>
      <c r="AK49" s="1096"/>
      <c r="AL49" s="1096"/>
      <c r="AM49" s="1096"/>
      <c r="AN49" s="1096"/>
      <c r="AO49" s="1096"/>
      <c r="AP49" s="1096"/>
      <c r="AQ49" s="1096"/>
      <c r="AR49" s="1096"/>
      <c r="AS49" s="1096"/>
      <c r="AT49" s="1096"/>
      <c r="AU49" s="1096"/>
      <c r="AV49" s="1096"/>
      <c r="AW49" s="1096"/>
      <c r="AX49" s="1096"/>
      <c r="AY49" s="1096"/>
      <c r="AZ49" s="1096"/>
      <c r="BA49" s="1096"/>
      <c r="BB49" s="1096"/>
      <c r="BC49" s="1096"/>
      <c r="BD49" s="1096"/>
      <c r="BE49" s="1096"/>
      <c r="BF49" s="1096"/>
      <c r="BG49" s="1096"/>
      <c r="BH49" s="1096"/>
      <c r="BI49" s="1096"/>
      <c r="BJ49" s="1096"/>
      <c r="BK49" s="1096"/>
      <c r="BL49" s="1096"/>
      <c r="BM49" s="1096"/>
      <c r="BN49" s="1096"/>
      <c r="BO49" s="1096"/>
      <c r="BP49" s="1096"/>
      <c r="BQ49" s="1096"/>
      <c r="BR49" s="1096"/>
      <c r="BS49" s="1096"/>
      <c r="BT49" s="1096"/>
      <c r="BU49" s="1096"/>
    </row>
    <row r="50" spans="1:73" ht="52" x14ac:dyDescent="0.3">
      <c r="A50" s="1096"/>
      <c r="B50" s="1107" t="s">
        <v>1137</v>
      </c>
      <c r="C50" s="1107" t="s">
        <v>1323</v>
      </c>
      <c r="D50" s="1107" t="s">
        <v>1324</v>
      </c>
      <c r="E50" s="1107" t="s">
        <v>1325</v>
      </c>
      <c r="F50" s="1107" t="s">
        <v>1326</v>
      </c>
      <c r="G50" s="1107" t="s">
        <v>1327</v>
      </c>
      <c r="H50" s="1107" t="s">
        <v>1343</v>
      </c>
      <c r="I50" s="1107" t="s">
        <v>1342</v>
      </c>
      <c r="J50" s="1096"/>
      <c r="K50" s="1107" t="s">
        <v>1344</v>
      </c>
      <c r="L50" s="1107" t="s">
        <v>1328</v>
      </c>
      <c r="M50" s="1107" t="s">
        <v>1329</v>
      </c>
      <c r="N50" s="1107" t="s">
        <v>1330</v>
      </c>
      <c r="O50" s="1107" t="s">
        <v>1331</v>
      </c>
      <c r="P50" s="1107" t="s">
        <v>1332</v>
      </c>
      <c r="Q50" s="1107" t="s">
        <v>1333</v>
      </c>
      <c r="R50" s="1107" t="s">
        <v>1334</v>
      </c>
      <c r="S50" s="1107" t="s">
        <v>1335</v>
      </c>
      <c r="T50" s="1107" t="s">
        <v>1336</v>
      </c>
      <c r="U50" s="1107" t="s">
        <v>1337</v>
      </c>
      <c r="V50" s="1107" t="s">
        <v>1338</v>
      </c>
      <c r="W50" s="1107" t="s">
        <v>1339</v>
      </c>
      <c r="X50" s="1107" t="s">
        <v>1340</v>
      </c>
      <c r="Y50" s="1107" t="s">
        <v>1341</v>
      </c>
      <c r="Z50" s="1096"/>
      <c r="AA50" s="1096"/>
      <c r="AB50" s="1096"/>
      <c r="AC50" s="1096"/>
      <c r="AD50" s="1096"/>
      <c r="AE50" s="1096"/>
      <c r="AF50" s="1096"/>
      <c r="AG50" s="1096"/>
      <c r="AH50" s="1096"/>
      <c r="AI50" s="1096"/>
      <c r="AJ50" s="1096"/>
      <c r="AK50" s="1096"/>
      <c r="AL50" s="1096"/>
      <c r="AM50" s="1096"/>
      <c r="AN50" s="1096"/>
      <c r="AO50" s="1096"/>
      <c r="AP50" s="1096"/>
      <c r="AQ50" s="1096"/>
      <c r="AR50" s="1096"/>
      <c r="AS50" s="1096"/>
      <c r="AT50" s="1096"/>
      <c r="AU50" s="1096"/>
      <c r="AV50" s="1096"/>
      <c r="AW50" s="1096"/>
      <c r="AX50" s="1096"/>
      <c r="AY50" s="1096"/>
      <c r="AZ50" s="1096"/>
      <c r="BA50" s="1096"/>
      <c r="BB50" s="1096"/>
      <c r="BC50" s="1096"/>
      <c r="BD50" s="1096"/>
      <c r="BE50" s="1096"/>
      <c r="BF50" s="1096"/>
      <c r="BG50" s="1096"/>
      <c r="BH50" s="1096"/>
      <c r="BI50" s="1096"/>
      <c r="BJ50" s="1096"/>
      <c r="BK50" s="1096"/>
      <c r="BL50" s="1096"/>
      <c r="BM50" s="1096"/>
      <c r="BN50" s="1096"/>
      <c r="BO50" s="1096"/>
      <c r="BP50" s="1096"/>
      <c r="BQ50" s="1096"/>
      <c r="BR50" s="1096"/>
      <c r="BS50" s="1096"/>
      <c r="BT50" s="1096"/>
      <c r="BU50" s="1096"/>
    </row>
    <row r="51" spans="1:73" x14ac:dyDescent="0.25">
      <c r="A51" s="1096"/>
      <c r="B51" s="1108">
        <v>1</v>
      </c>
      <c r="C51" s="1101">
        <v>1</v>
      </c>
      <c r="D51" s="1101">
        <v>1</v>
      </c>
      <c r="E51" s="1101">
        <v>1</v>
      </c>
      <c r="F51" s="1101">
        <v>1</v>
      </c>
      <c r="G51" s="1101">
        <v>1</v>
      </c>
      <c r="H51" s="1101">
        <v>1</v>
      </c>
      <c r="I51" s="1101">
        <v>1</v>
      </c>
      <c r="J51" s="1096"/>
      <c r="K51" s="1114">
        <v>1.3158315472358189</v>
      </c>
      <c r="L51" s="1115">
        <v>0</v>
      </c>
      <c r="M51" s="1115">
        <v>6.0102079727676302E-4</v>
      </c>
      <c r="N51" s="1115">
        <v>5.5266169313149496E-2</v>
      </c>
      <c r="O51" s="1115">
        <v>7.7619458215004659E-3</v>
      </c>
      <c r="P51" s="1115">
        <v>1.6240608594085239E-2</v>
      </c>
      <c r="Q51" s="1115">
        <v>4.4939791076757435E-4</v>
      </c>
      <c r="R51" s="1115">
        <v>5.9924728859570725E-4</v>
      </c>
      <c r="S51" s="1115">
        <v>6.0570412267480507E-2</v>
      </c>
      <c r="T51" s="1115">
        <v>1.0323787971615324</v>
      </c>
      <c r="U51" s="1115">
        <v>0</v>
      </c>
      <c r="V51" s="1115">
        <v>9.7719295943352394E-2</v>
      </c>
      <c r="W51" s="1115">
        <v>3.6306116293509466E-2</v>
      </c>
      <c r="X51" s="1115">
        <v>7.5096238613796707E-3</v>
      </c>
      <c r="Y51" s="1115">
        <v>1.6309535777419199E-3</v>
      </c>
      <c r="Z51" s="1230"/>
      <c r="AA51" s="1096"/>
      <c r="AB51" s="1096"/>
      <c r="AC51" s="1096"/>
      <c r="AD51" s="1096"/>
      <c r="AE51" s="1096"/>
      <c r="AF51" s="1096"/>
      <c r="AG51" s="1096"/>
      <c r="AH51" s="1096"/>
      <c r="AI51" s="1096"/>
      <c r="AJ51" s="1096"/>
      <c r="AK51" s="1096"/>
      <c r="AL51" s="1096"/>
      <c r="AM51" s="1096"/>
      <c r="AN51" s="1096"/>
      <c r="AO51" s="1096"/>
      <c r="AP51" s="1096"/>
      <c r="AQ51" s="1096"/>
      <c r="AR51" s="1096"/>
      <c r="AS51" s="1096"/>
      <c r="AT51" s="1096"/>
      <c r="AU51" s="1096"/>
      <c r="AV51" s="1096"/>
      <c r="AW51" s="1096"/>
      <c r="AX51" s="1096"/>
      <c r="AY51" s="1096"/>
      <c r="AZ51" s="1096"/>
      <c r="BA51" s="1096"/>
      <c r="BB51" s="1096"/>
      <c r="BC51" s="1096"/>
      <c r="BD51" s="1096"/>
      <c r="BE51" s="1096"/>
      <c r="BF51" s="1096"/>
      <c r="BG51" s="1096"/>
      <c r="BH51" s="1096"/>
      <c r="BI51" s="1096"/>
      <c r="BJ51" s="1096"/>
      <c r="BK51" s="1096"/>
      <c r="BL51" s="1096"/>
      <c r="BM51" s="1096"/>
      <c r="BN51" s="1096"/>
      <c r="BO51" s="1096"/>
      <c r="BP51" s="1096"/>
      <c r="BQ51" s="1096"/>
      <c r="BR51" s="1096"/>
      <c r="BS51" s="1096"/>
      <c r="BT51" s="1096"/>
      <c r="BU51" s="1096"/>
    </row>
    <row r="52" spans="1:73" x14ac:dyDescent="0.25">
      <c r="A52" s="1096"/>
      <c r="B52" s="1116">
        <f>+B51+1</f>
        <v>2</v>
      </c>
      <c r="C52" s="1117">
        <f>+F3</f>
        <v>1.05</v>
      </c>
      <c r="D52" s="1117">
        <v>1</v>
      </c>
      <c r="E52" s="1117">
        <v>1</v>
      </c>
      <c r="F52" s="1117">
        <v>1</v>
      </c>
      <c r="G52" s="1117">
        <v>1</v>
      </c>
      <c r="H52" s="1117">
        <v>1</v>
      </c>
      <c r="I52" s="1117">
        <v>1</v>
      </c>
      <c r="J52" s="1096"/>
      <c r="K52" s="1114">
        <v>1.3067736916690487</v>
      </c>
      <c r="L52" s="1115">
        <v>0</v>
      </c>
      <c r="M52" s="1115">
        <v>5.7240075931120292E-4</v>
      </c>
      <c r="N52" s="1115">
        <v>5.2634446964904276E-2</v>
      </c>
      <c r="O52" s="1115">
        <v>7.3923293538099679E-3</v>
      </c>
      <c r="P52" s="1115">
        <v>1.6185141701957721E-2</v>
      </c>
      <c r="Q52" s="1115">
        <v>4.2799801025483265E-4</v>
      </c>
      <c r="R52" s="1115">
        <v>5.7071170342448305E-4</v>
      </c>
      <c r="S52" s="1115">
        <v>5.7686106921410005E-2</v>
      </c>
      <c r="T52" s="1115">
        <v>1.0323787971615324</v>
      </c>
      <c r="U52" s="1115">
        <v>0</v>
      </c>
      <c r="V52" s="1115">
        <v>9.6539158251886595E-2</v>
      </c>
      <c r="W52" s="1115">
        <v>3.4577253612866149E-2</v>
      </c>
      <c r="X52" s="1115">
        <v>7.4008596246535564E-3</v>
      </c>
      <c r="Y52" s="1115">
        <v>1.5532891216589713E-3</v>
      </c>
      <c r="Z52" s="1230"/>
      <c r="AA52" s="1096"/>
      <c r="AB52" s="1096"/>
      <c r="AC52" s="1096"/>
      <c r="AD52" s="1096"/>
      <c r="AE52" s="1096"/>
      <c r="AF52" s="1096"/>
      <c r="AG52" s="1096"/>
      <c r="AH52" s="1096"/>
      <c r="AI52" s="1096"/>
      <c r="AJ52" s="1096"/>
      <c r="AK52" s="1096"/>
      <c r="AL52" s="1096"/>
      <c r="AM52" s="1096"/>
      <c r="AN52" s="1096"/>
      <c r="AO52" s="1096"/>
      <c r="AP52" s="1096"/>
      <c r="AQ52" s="1096"/>
      <c r="AR52" s="1096"/>
      <c r="AS52" s="1096"/>
      <c r="AT52" s="1096"/>
      <c r="AU52" s="1096"/>
      <c r="AV52" s="1096"/>
      <c r="AW52" s="1096"/>
      <c r="AX52" s="1096"/>
      <c r="AY52" s="1096"/>
      <c r="AZ52" s="1096"/>
      <c r="BA52" s="1096"/>
      <c r="BB52" s="1096"/>
      <c r="BC52" s="1096"/>
      <c r="BD52" s="1096"/>
      <c r="BE52" s="1096"/>
      <c r="BF52" s="1096"/>
      <c r="BG52" s="1096"/>
      <c r="BH52" s="1096"/>
      <c r="BI52" s="1096"/>
      <c r="BJ52" s="1096"/>
      <c r="BK52" s="1096"/>
      <c r="BL52" s="1096"/>
      <c r="BM52" s="1096"/>
      <c r="BN52" s="1096"/>
      <c r="BO52" s="1096"/>
      <c r="BP52" s="1096"/>
      <c r="BQ52" s="1096"/>
      <c r="BR52" s="1096"/>
      <c r="BS52" s="1096"/>
      <c r="BT52" s="1096"/>
      <c r="BU52" s="1096"/>
    </row>
    <row r="53" spans="1:73" x14ac:dyDescent="0.25">
      <c r="A53" s="1096"/>
      <c r="B53" s="1116">
        <f t="shared" ref="B53:B70" si="6">+B52+1</f>
        <v>3</v>
      </c>
      <c r="C53" s="1117">
        <f>+G3</f>
        <v>0.95</v>
      </c>
      <c r="D53" s="1117">
        <v>1</v>
      </c>
      <c r="E53" s="1117">
        <v>1</v>
      </c>
      <c r="F53" s="1117">
        <v>1</v>
      </c>
      <c r="G53" s="1117">
        <v>1</v>
      </c>
      <c r="H53" s="1117">
        <v>1</v>
      </c>
      <c r="I53" s="1117">
        <v>1</v>
      </c>
      <c r="J53" s="1096"/>
      <c r="K53" s="1114">
        <v>1.3258428612833015</v>
      </c>
      <c r="L53" s="1115">
        <v>0</v>
      </c>
      <c r="M53" s="1115">
        <v>6.3265347081764524E-4</v>
      </c>
      <c r="N53" s="1115">
        <v>5.817491506647314E-2</v>
      </c>
      <c r="O53" s="1115">
        <v>8.1704692857899625E-3</v>
      </c>
      <c r="P53" s="1115">
        <v>1.6301914106436721E-2</v>
      </c>
      <c r="Q53" s="1115">
        <v>4.7305043238692035E-4</v>
      </c>
      <c r="R53" s="1115">
        <v>6.307866195744287E-4</v>
      </c>
      <c r="S53" s="1115">
        <v>6.375832870261107E-2</v>
      </c>
      <c r="T53" s="1115">
        <v>1.0323787971615319</v>
      </c>
      <c r="U53" s="1115">
        <v>0</v>
      </c>
      <c r="V53" s="1115">
        <v>9.902365865497248E-2</v>
      </c>
      <c r="W53" s="1115">
        <v>3.8216964519483636E-2</v>
      </c>
      <c r="X53" s="1115">
        <v>7.6298369651294946E-3</v>
      </c>
      <c r="Y53" s="1115">
        <v>1.7167932397283365E-3</v>
      </c>
      <c r="Z53" s="1230"/>
      <c r="AA53" s="1096"/>
      <c r="AB53" s="1096"/>
      <c r="AC53" s="1096"/>
      <c r="AD53" s="1096"/>
      <c r="AE53" s="1096"/>
      <c r="AF53" s="1096"/>
      <c r="AG53" s="1096"/>
      <c r="AH53" s="1096"/>
      <c r="AI53" s="1096"/>
      <c r="AJ53" s="1096"/>
      <c r="AK53" s="1096"/>
      <c r="AL53" s="1096"/>
      <c r="AM53" s="1096"/>
      <c r="AN53" s="1096"/>
      <c r="AO53" s="1096"/>
      <c r="AP53" s="1096"/>
      <c r="AQ53" s="1096"/>
      <c r="AR53" s="1096"/>
      <c r="AS53" s="1096"/>
      <c r="AT53" s="1096"/>
      <c r="AU53" s="1096"/>
      <c r="AV53" s="1096"/>
      <c r="AW53" s="1096"/>
      <c r="AX53" s="1096"/>
      <c r="AY53" s="1096"/>
      <c r="AZ53" s="1096"/>
      <c r="BA53" s="1096"/>
      <c r="BB53" s="1096"/>
      <c r="BC53" s="1096"/>
      <c r="BD53" s="1096"/>
      <c r="BE53" s="1096"/>
      <c r="BF53" s="1096"/>
      <c r="BG53" s="1096"/>
      <c r="BH53" s="1096"/>
      <c r="BI53" s="1096"/>
      <c r="BJ53" s="1096"/>
      <c r="BK53" s="1096"/>
      <c r="BL53" s="1096"/>
      <c r="BM53" s="1096"/>
      <c r="BN53" s="1096"/>
      <c r="BO53" s="1096"/>
      <c r="BP53" s="1096"/>
      <c r="BQ53" s="1096"/>
      <c r="BR53" s="1096"/>
      <c r="BS53" s="1096"/>
      <c r="BT53" s="1096"/>
      <c r="BU53" s="1096"/>
    </row>
    <row r="54" spans="1:73" x14ac:dyDescent="0.25">
      <c r="A54" s="1096"/>
      <c r="B54" s="1108">
        <f t="shared" si="6"/>
        <v>4</v>
      </c>
      <c r="C54" s="1101">
        <v>1</v>
      </c>
      <c r="D54" s="1101">
        <f>+F4</f>
        <v>1.05</v>
      </c>
      <c r="E54" s="1101">
        <v>1</v>
      </c>
      <c r="F54" s="1101">
        <v>1</v>
      </c>
      <c r="G54" s="1101">
        <v>1</v>
      </c>
      <c r="H54" s="1101">
        <v>1</v>
      </c>
      <c r="I54" s="1101">
        <v>1</v>
      </c>
      <c r="J54" s="1096"/>
      <c r="K54" s="1114">
        <v>1.3122440885996933</v>
      </c>
      <c r="L54" s="1115">
        <v>0</v>
      </c>
      <c r="M54" s="1115">
        <v>5.8940495240654596E-4</v>
      </c>
      <c r="N54" s="1115">
        <v>5.4198047790198149E-2</v>
      </c>
      <c r="O54" s="1115">
        <v>7.6119317804521358E-3</v>
      </c>
      <c r="P54" s="1115">
        <v>1.621928654117042E-2</v>
      </c>
      <c r="Q54" s="1115">
        <v>4.407124602139028E-4</v>
      </c>
      <c r="R54" s="1115">
        <v>5.8766572007966735E-4</v>
      </c>
      <c r="S54" s="1115">
        <v>5.9007997893940803E-2</v>
      </c>
      <c r="T54" s="1115">
        <v>1.0323787971615324</v>
      </c>
      <c r="U54" s="1115">
        <v>0</v>
      </c>
      <c r="V54" s="1115">
        <v>9.7719295943352408E-2</v>
      </c>
      <c r="W54" s="1115">
        <v>3.560443306288532E-2</v>
      </c>
      <c r="X54" s="1115">
        <v>7.4658928321691097E-3</v>
      </c>
      <c r="Y54" s="1115">
        <v>1.5994323661042945E-3</v>
      </c>
      <c r="Z54" s="1230"/>
      <c r="AA54" s="1096"/>
      <c r="AB54" s="1096"/>
      <c r="AC54" s="1096"/>
      <c r="AD54" s="1096"/>
      <c r="AE54" s="1096"/>
      <c r="AF54" s="1096"/>
      <c r="AG54" s="1096"/>
      <c r="AH54" s="1096"/>
      <c r="AI54" s="1096"/>
      <c r="AJ54" s="1096"/>
      <c r="AK54" s="1096"/>
      <c r="AL54" s="1096"/>
      <c r="AM54" s="1096"/>
      <c r="AN54" s="1096"/>
      <c r="AO54" s="1096"/>
      <c r="AP54" s="1096"/>
      <c r="AQ54" s="1096"/>
      <c r="AR54" s="1096"/>
      <c r="AS54" s="1096"/>
      <c r="AT54" s="1096"/>
      <c r="AU54" s="1096"/>
      <c r="AV54" s="1096"/>
      <c r="AW54" s="1096"/>
      <c r="AX54" s="1096"/>
      <c r="AY54" s="1096"/>
      <c r="AZ54" s="1096"/>
      <c r="BA54" s="1096"/>
      <c r="BB54" s="1096"/>
      <c r="BC54" s="1096"/>
      <c r="BD54" s="1096"/>
      <c r="BE54" s="1096"/>
      <c r="BF54" s="1096"/>
      <c r="BG54" s="1096"/>
      <c r="BH54" s="1096"/>
      <c r="BI54" s="1096"/>
      <c r="BJ54" s="1096"/>
      <c r="BK54" s="1096"/>
      <c r="BL54" s="1096"/>
      <c r="BM54" s="1096"/>
      <c r="BN54" s="1096"/>
      <c r="BO54" s="1096"/>
      <c r="BP54" s="1096"/>
      <c r="BQ54" s="1096"/>
      <c r="BR54" s="1096"/>
      <c r="BS54" s="1096"/>
      <c r="BT54" s="1096"/>
      <c r="BU54" s="1096"/>
    </row>
    <row r="55" spans="1:73" x14ac:dyDescent="0.25">
      <c r="A55" s="1096"/>
      <c r="B55" s="1108">
        <f t="shared" si="6"/>
        <v>5</v>
      </c>
      <c r="C55" s="1101">
        <v>1</v>
      </c>
      <c r="D55" s="1101">
        <f>+G4</f>
        <v>0.95</v>
      </c>
      <c r="E55" s="1101">
        <v>1</v>
      </c>
      <c r="F55" s="1101">
        <v>1</v>
      </c>
      <c r="G55" s="1101">
        <v>1</v>
      </c>
      <c r="H55" s="1101">
        <v>1</v>
      </c>
      <c r="I55" s="1101">
        <v>1</v>
      </c>
      <c r="J55" s="1096"/>
      <c r="K55" s="1114">
        <v>1.319695682762946</v>
      </c>
      <c r="L55" s="1115">
        <v>0</v>
      </c>
      <c r="M55" s="1115">
        <v>6.1347950453091672E-4</v>
      </c>
      <c r="N55" s="1115">
        <v>5.6411795267610372E-2</v>
      </c>
      <c r="O55" s="1115">
        <v>7.922845096784854E-3</v>
      </c>
      <c r="P55" s="1115">
        <v>1.6263697116477172E-2</v>
      </c>
      <c r="Q55" s="1115">
        <v>4.5871359008557857E-4</v>
      </c>
      <c r="R55" s="1115">
        <v>6.116692323542049E-4</v>
      </c>
      <c r="S55" s="1115">
        <v>6.2262268084227745E-2</v>
      </c>
      <c r="T55" s="1115">
        <v>1.0323787971615324</v>
      </c>
      <c r="U55" s="1115">
        <v>0</v>
      </c>
      <c r="V55" s="1115">
        <v>9.7719295943352449E-2</v>
      </c>
      <c r="W55" s="1115">
        <v>3.7058714666952805E-2</v>
      </c>
      <c r="X55" s="1115">
        <v>7.5566040943380692E-3</v>
      </c>
      <c r="Y55" s="1115">
        <v>1.6647620137598912E-3</v>
      </c>
      <c r="Z55" s="1230"/>
      <c r="AA55" s="1096"/>
      <c r="AB55" s="1096"/>
      <c r="AC55" s="1096"/>
      <c r="AD55" s="1096"/>
      <c r="AE55" s="1096"/>
      <c r="AF55" s="1096"/>
      <c r="AG55" s="1096"/>
      <c r="AH55" s="1096"/>
      <c r="AI55" s="1096"/>
      <c r="AJ55" s="1096"/>
      <c r="AK55" s="1096"/>
      <c r="AL55" s="1096"/>
      <c r="AM55" s="1096"/>
      <c r="AN55" s="1096"/>
      <c r="AO55" s="1096"/>
      <c r="AP55" s="1096"/>
      <c r="AQ55" s="1096"/>
      <c r="AR55" s="1096"/>
      <c r="AS55" s="1096"/>
      <c r="AT55" s="1096"/>
      <c r="AU55" s="1096"/>
      <c r="AV55" s="1096"/>
      <c r="AW55" s="1096"/>
      <c r="AX55" s="1096"/>
      <c r="AY55" s="1096"/>
      <c r="AZ55" s="1096"/>
      <c r="BA55" s="1096"/>
      <c r="BB55" s="1096"/>
      <c r="BC55" s="1096"/>
      <c r="BD55" s="1096"/>
      <c r="BE55" s="1096"/>
      <c r="BF55" s="1096"/>
      <c r="BG55" s="1096"/>
      <c r="BH55" s="1096"/>
      <c r="BI55" s="1096"/>
      <c r="BJ55" s="1096"/>
      <c r="BK55" s="1096"/>
      <c r="BL55" s="1096"/>
      <c r="BM55" s="1096"/>
      <c r="BN55" s="1096"/>
      <c r="BO55" s="1096"/>
      <c r="BP55" s="1096"/>
      <c r="BQ55" s="1096"/>
      <c r="BR55" s="1096"/>
      <c r="BS55" s="1096"/>
      <c r="BT55" s="1096"/>
      <c r="BU55" s="1096"/>
    </row>
    <row r="56" spans="1:73" x14ac:dyDescent="0.25">
      <c r="A56" s="1096"/>
      <c r="B56" s="1116">
        <f t="shared" si="6"/>
        <v>6</v>
      </c>
      <c r="C56" s="1117">
        <v>1</v>
      </c>
      <c r="D56" s="1117">
        <v>1</v>
      </c>
      <c r="E56" s="1117">
        <f>+F5</f>
        <v>0.95</v>
      </c>
      <c r="F56" s="1117">
        <v>1</v>
      </c>
      <c r="G56" s="1117">
        <v>1</v>
      </c>
      <c r="H56" s="1117">
        <v>1</v>
      </c>
      <c r="I56" s="1117">
        <v>1</v>
      </c>
      <c r="J56" s="1096"/>
      <c r="K56" s="1114">
        <v>1.3128499129124052</v>
      </c>
      <c r="L56" s="1115">
        <v>0</v>
      </c>
      <c r="M56" s="1115">
        <v>6.6642914449063437E-4</v>
      </c>
      <c r="N56" s="1115">
        <v>5.2674233231365448E-2</v>
      </c>
      <c r="O56" s="1115">
        <v>7.7497222141576739E-3</v>
      </c>
      <c r="P56" s="1115">
        <v>1.5651153285881739E-2</v>
      </c>
      <c r="Q56" s="1115">
        <v>4.2639607246159413E-4</v>
      </c>
      <c r="R56" s="1115">
        <v>6.6446262706159036E-4</v>
      </c>
      <c r="S56" s="1115">
        <v>6.0521774595846796E-2</v>
      </c>
      <c r="T56" s="1115">
        <v>1.0339044722805637</v>
      </c>
      <c r="U56" s="1115">
        <v>0</v>
      </c>
      <c r="V56" s="1115">
        <v>9.7664077180831033E-2</v>
      </c>
      <c r="W56" s="1115">
        <v>3.5668404314729105E-2</v>
      </c>
      <c r="X56" s="1115">
        <v>6.7831980231811721E-3</v>
      </c>
      <c r="Y56" s="1115">
        <v>1.8084482308155067E-3</v>
      </c>
      <c r="Z56" s="1230"/>
      <c r="AA56" s="1096"/>
      <c r="AB56" s="1096"/>
      <c r="AC56" s="1096"/>
      <c r="AD56" s="1096"/>
      <c r="AE56" s="1096"/>
      <c r="AF56" s="1096"/>
      <c r="AG56" s="1096"/>
      <c r="AH56" s="1096"/>
      <c r="AI56" s="1096"/>
      <c r="AJ56" s="1096"/>
      <c r="AK56" s="1096"/>
      <c r="AL56" s="1096"/>
      <c r="AM56" s="1096"/>
      <c r="AN56" s="1096"/>
      <c r="AO56" s="1096"/>
      <c r="AP56" s="1096"/>
      <c r="AQ56" s="1096"/>
      <c r="AR56" s="1096"/>
      <c r="AS56" s="1096"/>
      <c r="AT56" s="1096"/>
      <c r="AU56" s="1096"/>
      <c r="AV56" s="1096"/>
      <c r="AW56" s="1096"/>
      <c r="AX56" s="1096"/>
      <c r="AY56" s="1096"/>
      <c r="AZ56" s="1096"/>
      <c r="BA56" s="1096"/>
      <c r="BB56" s="1096"/>
      <c r="BC56" s="1096"/>
      <c r="BD56" s="1096"/>
      <c r="BE56" s="1096"/>
      <c r="BF56" s="1096"/>
      <c r="BG56" s="1096"/>
      <c r="BH56" s="1096"/>
      <c r="BI56" s="1096"/>
      <c r="BJ56" s="1096"/>
      <c r="BK56" s="1096"/>
      <c r="BL56" s="1096"/>
      <c r="BM56" s="1096"/>
      <c r="BN56" s="1096"/>
      <c r="BO56" s="1096"/>
      <c r="BP56" s="1096"/>
      <c r="BQ56" s="1096"/>
      <c r="BR56" s="1096"/>
      <c r="BS56" s="1096"/>
      <c r="BT56" s="1096"/>
      <c r="BU56" s="1096"/>
    </row>
    <row r="57" spans="1:73" x14ac:dyDescent="0.25">
      <c r="A57" s="1096"/>
      <c r="B57" s="1116">
        <f t="shared" si="6"/>
        <v>7</v>
      </c>
      <c r="C57" s="1117">
        <v>1</v>
      </c>
      <c r="D57" s="1117">
        <v>1</v>
      </c>
      <c r="E57" s="1117">
        <f>+G5</f>
        <v>1.05</v>
      </c>
      <c r="F57" s="1117">
        <v>1</v>
      </c>
      <c r="G57" s="1117">
        <v>1</v>
      </c>
      <c r="H57" s="1117">
        <v>1</v>
      </c>
      <c r="I57" s="1117">
        <v>1</v>
      </c>
      <c r="J57" s="1096"/>
      <c r="K57" s="1114">
        <v>1.3189847434874717</v>
      </c>
      <c r="L57" s="1115">
        <v>0</v>
      </c>
      <c r="M57" s="1115">
        <v>5.4159599348299408E-4</v>
      </c>
      <c r="N57" s="1115">
        <v>5.790685701536278E-2</v>
      </c>
      <c r="O57" s="1115">
        <v>7.7742656406916523E-3</v>
      </c>
      <c r="P57" s="1115">
        <v>1.682510819902271E-2</v>
      </c>
      <c r="Q57" s="1115">
        <v>4.7298690136872033E-4</v>
      </c>
      <c r="R57" s="1115">
        <v>5.3999783714561071E-4</v>
      </c>
      <c r="S57" s="1115">
        <v>6.0619432765571073E-2</v>
      </c>
      <c r="T57" s="1115">
        <v>1.030927595852317</v>
      </c>
      <c r="U57" s="1115">
        <v>0</v>
      </c>
      <c r="V57" s="1115">
        <v>9.7775641865214966E-2</v>
      </c>
      <c r="W57" s="1115">
        <v>3.6948341879524206E-2</v>
      </c>
      <c r="X57" s="1115">
        <v>8.2664154222635861E-3</v>
      </c>
      <c r="Y57" s="1115">
        <v>1.4696961024711786E-3</v>
      </c>
      <c r="Z57" s="1230"/>
      <c r="AA57" s="1096"/>
      <c r="AB57" s="1096"/>
      <c r="AC57" s="1096"/>
      <c r="AD57" s="1096"/>
      <c r="AE57" s="1096"/>
      <c r="AF57" s="1096"/>
      <c r="AG57" s="1096"/>
      <c r="AH57" s="1096"/>
      <c r="AI57" s="1096"/>
      <c r="AJ57" s="1096"/>
      <c r="AK57" s="1096"/>
      <c r="AL57" s="1096"/>
      <c r="AM57" s="1096"/>
      <c r="AN57" s="1096"/>
      <c r="AO57" s="1096"/>
      <c r="AP57" s="1096"/>
      <c r="AQ57" s="1096"/>
      <c r="AR57" s="1096"/>
      <c r="AS57" s="1096"/>
      <c r="AT57" s="1096"/>
      <c r="AU57" s="1096"/>
      <c r="AV57" s="1096"/>
      <c r="AW57" s="1096"/>
      <c r="AX57" s="1096"/>
      <c r="AY57" s="1096"/>
      <c r="AZ57" s="1096"/>
      <c r="BA57" s="1096"/>
      <c r="BB57" s="1096"/>
      <c r="BC57" s="1096"/>
      <c r="BD57" s="1096"/>
      <c r="BE57" s="1096"/>
      <c r="BF57" s="1096"/>
      <c r="BG57" s="1096"/>
      <c r="BH57" s="1096"/>
      <c r="BI57" s="1096"/>
      <c r="BJ57" s="1096"/>
      <c r="BK57" s="1096"/>
      <c r="BL57" s="1096"/>
      <c r="BM57" s="1096"/>
      <c r="BN57" s="1096"/>
      <c r="BO57" s="1096"/>
      <c r="BP57" s="1096"/>
      <c r="BQ57" s="1096"/>
      <c r="BR57" s="1096"/>
      <c r="BS57" s="1096"/>
      <c r="BT57" s="1096"/>
      <c r="BU57" s="1096"/>
    </row>
    <row r="58" spans="1:73" x14ac:dyDescent="0.25">
      <c r="A58" s="1096"/>
      <c r="B58" s="1108">
        <f t="shared" si="6"/>
        <v>8</v>
      </c>
      <c r="C58" s="1101">
        <v>1</v>
      </c>
      <c r="D58" s="1101">
        <v>1</v>
      </c>
      <c r="E58" s="1101">
        <v>1</v>
      </c>
      <c r="F58" s="1101">
        <f>+F6</f>
        <v>0.95</v>
      </c>
      <c r="G58" s="1101">
        <v>1</v>
      </c>
      <c r="H58" s="1101">
        <v>1</v>
      </c>
      <c r="I58" s="1101">
        <v>1</v>
      </c>
      <c r="J58" s="1096"/>
      <c r="K58" s="1114">
        <v>1.2632645525367054</v>
      </c>
      <c r="L58" s="1115">
        <v>0</v>
      </c>
      <c r="M58" s="1115">
        <v>6.0102079727676302E-4</v>
      </c>
      <c r="N58" s="1115">
        <v>5.5266169313149496E-2</v>
      </c>
      <c r="O58" s="1115">
        <v>7.7619458215004659E-3</v>
      </c>
      <c r="P58" s="1115">
        <v>1.5536583069130654E-2</v>
      </c>
      <c r="Q58" s="1115">
        <v>4.4939791076757435E-4</v>
      </c>
      <c r="R58" s="1115">
        <v>5.9924728859570725E-4</v>
      </c>
      <c r="S58" s="1115">
        <v>6.0570412267480507E-2</v>
      </c>
      <c r="T58" s="1115">
        <v>0.98075985730345538</v>
      </c>
      <c r="U58" s="1115">
        <v>0</v>
      </c>
      <c r="V58" s="1115">
        <v>9.7719295943352394E-2</v>
      </c>
      <c r="W58" s="1115">
        <v>3.6306116293509466E-2</v>
      </c>
      <c r="X58" s="1115">
        <v>7.2655945452964809E-3</v>
      </c>
      <c r="Y58" s="1115">
        <v>1.6309535777419199E-3</v>
      </c>
      <c r="Z58" s="1230"/>
      <c r="AA58" s="1096"/>
      <c r="AB58" s="1096"/>
      <c r="AC58" s="1096"/>
      <c r="AD58" s="1096"/>
      <c r="AE58" s="1096"/>
      <c r="AF58" s="1096"/>
      <c r="AG58" s="1096"/>
      <c r="AH58" s="1096"/>
      <c r="AI58" s="1096"/>
      <c r="AJ58" s="1096"/>
      <c r="AK58" s="1096"/>
      <c r="AL58" s="1096"/>
      <c r="AM58" s="1096"/>
      <c r="AN58" s="1096"/>
      <c r="AO58" s="1096"/>
      <c r="AP58" s="1096"/>
      <c r="AQ58" s="1096"/>
      <c r="AR58" s="1096"/>
      <c r="AS58" s="1096"/>
      <c r="AT58" s="1096"/>
      <c r="AU58" s="1096"/>
      <c r="AV58" s="1096"/>
      <c r="AW58" s="1096"/>
      <c r="AX58" s="1096"/>
      <c r="AY58" s="1096"/>
      <c r="AZ58" s="1096"/>
      <c r="BA58" s="1096"/>
      <c r="BB58" s="1096"/>
      <c r="BC58" s="1096"/>
      <c r="BD58" s="1096"/>
      <c r="BE58" s="1096"/>
      <c r="BF58" s="1096"/>
      <c r="BG58" s="1096"/>
      <c r="BH58" s="1096"/>
      <c r="BI58" s="1096"/>
      <c r="BJ58" s="1096"/>
      <c r="BK58" s="1096"/>
      <c r="BL58" s="1096"/>
      <c r="BM58" s="1096"/>
      <c r="BN58" s="1096"/>
      <c r="BO58" s="1096"/>
      <c r="BP58" s="1096"/>
      <c r="BQ58" s="1096"/>
      <c r="BR58" s="1096"/>
      <c r="BS58" s="1096"/>
      <c r="BT58" s="1096"/>
      <c r="BU58" s="1096"/>
    </row>
    <row r="59" spans="1:73" x14ac:dyDescent="0.25">
      <c r="A59" s="1096"/>
      <c r="B59" s="1108">
        <f t="shared" si="6"/>
        <v>9</v>
      </c>
      <c r="C59" s="1101">
        <v>1</v>
      </c>
      <c r="D59" s="1101">
        <v>1</v>
      </c>
      <c r="E59" s="1101">
        <v>1</v>
      </c>
      <c r="F59" s="1101">
        <f>+G6</f>
        <v>1.05</v>
      </c>
      <c r="G59" s="1101">
        <v>1</v>
      </c>
      <c r="H59" s="1101">
        <v>1</v>
      </c>
      <c r="I59" s="1101">
        <v>1</v>
      </c>
      <c r="J59" s="1096"/>
      <c r="K59" s="1114">
        <v>1.3683985419349336</v>
      </c>
      <c r="L59" s="1115">
        <v>0</v>
      </c>
      <c r="M59" s="1115">
        <v>6.0102079727676302E-4</v>
      </c>
      <c r="N59" s="1115">
        <v>5.5266169313149496E-2</v>
      </c>
      <c r="O59" s="1115">
        <v>7.7619458215004659E-3</v>
      </c>
      <c r="P59" s="1115">
        <v>1.694463411903983E-2</v>
      </c>
      <c r="Q59" s="1115">
        <v>4.4939791076757435E-4</v>
      </c>
      <c r="R59" s="1115">
        <v>5.9924728859570725E-4</v>
      </c>
      <c r="S59" s="1115">
        <v>6.0570412267480507E-2</v>
      </c>
      <c r="T59" s="1115">
        <v>1.083997737019609</v>
      </c>
      <c r="U59" s="1115">
        <v>0</v>
      </c>
      <c r="V59" s="1115">
        <v>9.7719295943352394E-2</v>
      </c>
      <c r="W59" s="1115">
        <v>3.6306116293509466E-2</v>
      </c>
      <c r="X59" s="1115">
        <v>7.7536531774629099E-3</v>
      </c>
      <c r="Y59" s="1115">
        <v>1.6309535777419199E-3</v>
      </c>
      <c r="Z59" s="1230"/>
      <c r="AA59" s="1096"/>
      <c r="AB59" s="1096"/>
      <c r="AC59" s="1096"/>
      <c r="AD59" s="1096"/>
      <c r="AE59" s="1096"/>
      <c r="AF59" s="1096"/>
      <c r="AG59" s="1096"/>
      <c r="AH59" s="1096"/>
      <c r="AI59" s="1096"/>
      <c r="AJ59" s="1096"/>
      <c r="AK59" s="1096"/>
      <c r="AL59" s="1096"/>
      <c r="AM59" s="1096"/>
      <c r="AN59" s="1096"/>
      <c r="AO59" s="1096"/>
      <c r="AP59" s="1096"/>
      <c r="AQ59" s="1096"/>
      <c r="AR59" s="1096"/>
      <c r="AS59" s="1096"/>
      <c r="AT59" s="1096"/>
      <c r="AU59" s="1096"/>
      <c r="AV59" s="1096"/>
      <c r="AW59" s="1096"/>
      <c r="AX59" s="1096"/>
      <c r="AY59" s="1096"/>
      <c r="AZ59" s="1096"/>
      <c r="BA59" s="1096"/>
      <c r="BB59" s="1096"/>
      <c r="BC59" s="1096"/>
      <c r="BD59" s="1096"/>
      <c r="BE59" s="1096"/>
      <c r="BF59" s="1096"/>
      <c r="BG59" s="1096"/>
      <c r="BH59" s="1096"/>
      <c r="BI59" s="1096"/>
      <c r="BJ59" s="1096"/>
      <c r="BK59" s="1096"/>
      <c r="BL59" s="1096"/>
      <c r="BM59" s="1096"/>
      <c r="BN59" s="1096"/>
      <c r="BO59" s="1096"/>
      <c r="BP59" s="1096"/>
      <c r="BQ59" s="1096"/>
      <c r="BR59" s="1096"/>
      <c r="BS59" s="1096"/>
      <c r="BT59" s="1096"/>
      <c r="BU59" s="1096"/>
    </row>
    <row r="60" spans="1:73" x14ac:dyDescent="0.25">
      <c r="A60" s="1096"/>
      <c r="B60" s="1116">
        <f t="shared" si="6"/>
        <v>10</v>
      </c>
      <c r="C60" s="1117">
        <v>1</v>
      </c>
      <c r="D60" s="1117">
        <v>1</v>
      </c>
      <c r="E60" s="1117">
        <v>1</v>
      </c>
      <c r="F60" s="1117">
        <v>1</v>
      </c>
      <c r="G60" s="1117">
        <f>+F7</f>
        <v>0.95</v>
      </c>
      <c r="H60" s="1117">
        <v>1</v>
      </c>
      <c r="I60" s="1117">
        <v>1</v>
      </c>
      <c r="J60" s="1096"/>
      <c r="K60" s="1114">
        <v>1.3133682561254809</v>
      </c>
      <c r="L60" s="1115">
        <v>0</v>
      </c>
      <c r="M60" s="1115">
        <v>6.0102079727676302E-4</v>
      </c>
      <c r="N60" s="1115">
        <v>5.5266169313149496E-2</v>
      </c>
      <c r="O60" s="1115">
        <v>7.7619458215004659E-3</v>
      </c>
      <c r="P60" s="1115">
        <v>1.6207601951771823E-2</v>
      </c>
      <c r="Q60" s="1115">
        <v>4.4939791076757435E-4</v>
      </c>
      <c r="R60" s="1115">
        <v>5.9924728859570725E-4</v>
      </c>
      <c r="S60" s="1115">
        <v>6.0570412267480507E-2</v>
      </c>
      <c r="T60" s="1115">
        <v>1.0323787971615324</v>
      </c>
      <c r="U60" s="1115">
        <v>0</v>
      </c>
      <c r="V60" s="1115">
        <v>9.5300452237153138E-2</v>
      </c>
      <c r="W60" s="1115">
        <v>3.6306116293509466E-2</v>
      </c>
      <c r="X60" s="1115">
        <v>7.4981830995544023E-3</v>
      </c>
      <c r="Y60" s="1115">
        <v>1.6309535777419199E-3</v>
      </c>
      <c r="Z60" s="1230"/>
      <c r="AA60" s="1096"/>
      <c r="AB60" s="1096"/>
      <c r="AC60" s="1096"/>
      <c r="AD60" s="1096"/>
      <c r="AE60" s="1096"/>
      <c r="AF60" s="1096"/>
      <c r="AG60" s="1096"/>
      <c r="AH60" s="1096"/>
      <c r="AI60" s="1096"/>
      <c r="AJ60" s="1096"/>
      <c r="AK60" s="1096"/>
      <c r="AL60" s="1096"/>
      <c r="AM60" s="1096"/>
      <c r="AN60" s="1096"/>
      <c r="AO60" s="1096"/>
      <c r="AP60" s="1096"/>
      <c r="AQ60" s="1096"/>
      <c r="AR60" s="1096"/>
      <c r="AS60" s="1096"/>
      <c r="AT60" s="1096"/>
      <c r="AU60" s="1096"/>
      <c r="AV60" s="1096"/>
      <c r="AW60" s="1096"/>
      <c r="AX60" s="1096"/>
      <c r="AY60" s="1096"/>
      <c r="AZ60" s="1096"/>
      <c r="BA60" s="1096"/>
      <c r="BB60" s="1096"/>
      <c r="BC60" s="1096"/>
      <c r="BD60" s="1096"/>
      <c r="BE60" s="1096"/>
      <c r="BF60" s="1096"/>
      <c r="BG60" s="1096"/>
      <c r="BH60" s="1096"/>
      <c r="BI60" s="1096"/>
      <c r="BJ60" s="1096"/>
      <c r="BK60" s="1096"/>
      <c r="BL60" s="1096"/>
      <c r="BM60" s="1096"/>
      <c r="BN60" s="1096"/>
      <c r="BO60" s="1096"/>
      <c r="BP60" s="1096"/>
      <c r="BQ60" s="1096"/>
      <c r="BR60" s="1096"/>
      <c r="BS60" s="1096"/>
      <c r="BT60" s="1096"/>
      <c r="BU60" s="1096"/>
    </row>
    <row r="61" spans="1:73" x14ac:dyDescent="0.25">
      <c r="A61" s="1096"/>
      <c r="B61" s="1116">
        <f t="shared" si="6"/>
        <v>11</v>
      </c>
      <c r="C61" s="1117">
        <v>1</v>
      </c>
      <c r="D61" s="1117">
        <v>1</v>
      </c>
      <c r="E61" s="1117">
        <v>1</v>
      </c>
      <c r="F61" s="1117">
        <v>1</v>
      </c>
      <c r="G61" s="1117">
        <f>+G6</f>
        <v>1.05</v>
      </c>
      <c r="H61" s="1117">
        <v>1</v>
      </c>
      <c r="I61" s="1117">
        <v>1</v>
      </c>
      <c r="J61" s="1096"/>
      <c r="K61" s="1114">
        <v>1.3182948383461572</v>
      </c>
      <c r="L61" s="1115">
        <v>0</v>
      </c>
      <c r="M61" s="1115">
        <v>6.0102079727676302E-4</v>
      </c>
      <c r="N61" s="1115">
        <v>5.5266169313149496E-2</v>
      </c>
      <c r="O61" s="1115">
        <v>7.7619458215004659E-3</v>
      </c>
      <c r="P61" s="1115">
        <v>1.627361523639867E-2</v>
      </c>
      <c r="Q61" s="1115">
        <v>4.4939791076757435E-4</v>
      </c>
      <c r="R61" s="1115">
        <v>5.9924728859570725E-4</v>
      </c>
      <c r="S61" s="1115">
        <v>6.0570412267480507E-2</v>
      </c>
      <c r="T61" s="1115">
        <v>1.0323787971615324</v>
      </c>
      <c r="U61" s="1115">
        <v>0</v>
      </c>
      <c r="V61" s="1115">
        <v>0.10013813964955169</v>
      </c>
      <c r="W61" s="1115">
        <v>3.6306116293509466E-2</v>
      </c>
      <c r="X61" s="1115">
        <v>7.5210646232050614E-3</v>
      </c>
      <c r="Y61" s="1115">
        <v>1.6309535777419199E-3</v>
      </c>
      <c r="Z61" s="1230"/>
      <c r="AA61" s="1096"/>
      <c r="AB61" s="1096"/>
      <c r="AC61" s="1096"/>
      <c r="AD61" s="1096"/>
      <c r="AE61" s="1096"/>
      <c r="AF61" s="1096"/>
      <c r="AG61" s="1096"/>
      <c r="AH61" s="1096"/>
      <c r="AI61" s="1096"/>
      <c r="AJ61" s="1096"/>
      <c r="AK61" s="1096"/>
      <c r="AL61" s="1096"/>
      <c r="AM61" s="1096"/>
      <c r="AN61" s="1096"/>
      <c r="AO61" s="1096"/>
      <c r="AP61" s="1096"/>
      <c r="AQ61" s="1096"/>
      <c r="AR61" s="1096"/>
      <c r="AS61" s="1096"/>
      <c r="AT61" s="1096"/>
      <c r="AU61" s="1096"/>
      <c r="AV61" s="1096"/>
      <c r="AW61" s="1096"/>
      <c r="AX61" s="1096"/>
      <c r="AY61" s="1096"/>
      <c r="AZ61" s="1096"/>
      <c r="BA61" s="1096"/>
      <c r="BB61" s="1096"/>
      <c r="BC61" s="1096"/>
      <c r="BD61" s="1096"/>
      <c r="BE61" s="1096"/>
      <c r="BF61" s="1096"/>
      <c r="BG61" s="1096"/>
      <c r="BH61" s="1096"/>
      <c r="BI61" s="1096"/>
      <c r="BJ61" s="1096"/>
      <c r="BK61" s="1096"/>
      <c r="BL61" s="1096"/>
      <c r="BM61" s="1096"/>
      <c r="BN61" s="1096"/>
      <c r="BO61" s="1096"/>
      <c r="BP61" s="1096"/>
      <c r="BQ61" s="1096"/>
      <c r="BR61" s="1096"/>
      <c r="BS61" s="1096"/>
      <c r="BT61" s="1096"/>
      <c r="BU61" s="1096"/>
    </row>
    <row r="62" spans="1:73" x14ac:dyDescent="0.25">
      <c r="A62" s="1096"/>
      <c r="B62" s="1108">
        <f t="shared" si="6"/>
        <v>12</v>
      </c>
      <c r="C62" s="1101">
        <v>1</v>
      </c>
      <c r="D62" s="1101">
        <v>1</v>
      </c>
      <c r="E62" s="1101">
        <v>1</v>
      </c>
      <c r="F62" s="1101">
        <v>1</v>
      </c>
      <c r="G62" s="1101">
        <v>1</v>
      </c>
      <c r="H62" s="1101">
        <f>+F8</f>
        <v>0.95</v>
      </c>
      <c r="I62" s="1101">
        <v>1</v>
      </c>
      <c r="J62" s="1096"/>
      <c r="K62" s="1114">
        <v>1.3095838188313211</v>
      </c>
      <c r="L62" s="1115">
        <v>0</v>
      </c>
      <c r="M62" s="1115">
        <v>5.7096975741292497E-4</v>
      </c>
      <c r="N62" s="1115">
        <v>5.2494682668557308E-2</v>
      </c>
      <c r="O62" s="1115">
        <v>7.7619458215004659E-3</v>
      </c>
      <c r="P62" s="1115">
        <v>1.6219773121390193E-2</v>
      </c>
      <c r="Q62" s="1115">
        <v>4.4939791076757435E-4</v>
      </c>
      <c r="R62" s="1115">
        <v>5.691962487318692E-4</v>
      </c>
      <c r="S62" s="1115">
        <v>5.9043652993958314E-2</v>
      </c>
      <c r="T62" s="1115">
        <v>1.0323787971615324</v>
      </c>
      <c r="U62" s="1115">
        <v>0</v>
      </c>
      <c r="V62" s="1115">
        <v>9.7719295943352394E-2</v>
      </c>
      <c r="W62" s="1115">
        <v>3.4485437971219252E-2</v>
      </c>
      <c r="X62" s="1115">
        <v>7.4834441941678135E-3</v>
      </c>
      <c r="Y62" s="1115">
        <v>1.5491645535551813E-3</v>
      </c>
      <c r="Z62" s="1230"/>
      <c r="AA62" s="1096"/>
      <c r="AB62" s="1096"/>
      <c r="AC62" s="1096"/>
      <c r="AD62" s="1096"/>
      <c r="AE62" s="1096"/>
      <c r="AF62" s="1096"/>
      <c r="AG62" s="1096"/>
      <c r="AH62" s="1096"/>
      <c r="AI62" s="1096"/>
      <c r="AJ62" s="1096"/>
      <c r="AK62" s="1096"/>
      <c r="AL62" s="1096"/>
      <c r="AM62" s="1096"/>
      <c r="AN62" s="1096"/>
      <c r="AO62" s="1096"/>
      <c r="AP62" s="1096"/>
      <c r="AQ62" s="1096"/>
      <c r="AR62" s="1096"/>
      <c r="AS62" s="1096"/>
      <c r="AT62" s="1096"/>
      <c r="AU62" s="1096"/>
      <c r="AV62" s="1096"/>
      <c r="AW62" s="1096"/>
      <c r="AX62" s="1096"/>
      <c r="AY62" s="1096"/>
      <c r="AZ62" s="1096"/>
      <c r="BA62" s="1096"/>
      <c r="BB62" s="1096"/>
      <c r="BC62" s="1096"/>
      <c r="BD62" s="1096"/>
      <c r="BE62" s="1096"/>
      <c r="BF62" s="1096"/>
      <c r="BG62" s="1096"/>
      <c r="BH62" s="1096"/>
      <c r="BI62" s="1096"/>
      <c r="BJ62" s="1096"/>
      <c r="BK62" s="1096"/>
      <c r="BL62" s="1096"/>
      <c r="BM62" s="1096"/>
      <c r="BN62" s="1096"/>
      <c r="BO62" s="1096"/>
      <c r="BP62" s="1096"/>
      <c r="BQ62" s="1096"/>
      <c r="BR62" s="1096"/>
      <c r="BS62" s="1096"/>
      <c r="BT62" s="1096"/>
      <c r="BU62" s="1096"/>
    </row>
    <row r="63" spans="1:73" x14ac:dyDescent="0.25">
      <c r="A63" s="1096"/>
      <c r="B63" s="1108">
        <f t="shared" si="6"/>
        <v>13</v>
      </c>
      <c r="C63" s="1101">
        <v>1</v>
      </c>
      <c r="D63" s="1101">
        <v>1</v>
      </c>
      <c r="E63" s="1101">
        <v>1</v>
      </c>
      <c r="F63" s="1101">
        <v>1</v>
      </c>
      <c r="G63" s="1101">
        <v>1</v>
      </c>
      <c r="H63" s="1101">
        <f>+G8</f>
        <v>1.05</v>
      </c>
      <c r="I63" s="1101">
        <v>1</v>
      </c>
      <c r="J63" s="1096"/>
      <c r="K63" s="1114">
        <v>1.322079275640317</v>
      </c>
      <c r="L63" s="1115">
        <v>0</v>
      </c>
      <c r="M63" s="1115">
        <v>6.3107183714060096E-4</v>
      </c>
      <c r="N63" s="1115">
        <v>5.8037655957741678E-2</v>
      </c>
      <c r="O63" s="1115">
        <v>7.7619458215004659E-3</v>
      </c>
      <c r="P63" s="1115">
        <v>1.626144406678029E-2</v>
      </c>
      <c r="Q63" s="1115">
        <v>4.4939791076757435E-4</v>
      </c>
      <c r="R63" s="1115">
        <v>6.2929832845954518E-4</v>
      </c>
      <c r="S63" s="1115">
        <v>6.2097171541002687E-2</v>
      </c>
      <c r="T63" s="1115">
        <v>1.0323787971615324</v>
      </c>
      <c r="U63" s="1115">
        <v>0</v>
      </c>
      <c r="V63" s="1115">
        <v>9.7719295943352394E-2</v>
      </c>
      <c r="W63" s="1115">
        <v>3.8126794615799674E-2</v>
      </c>
      <c r="X63" s="1115">
        <v>7.5358035285915878E-3</v>
      </c>
      <c r="Y63" s="1115">
        <v>1.7127426019286583E-3</v>
      </c>
      <c r="Z63" s="1230"/>
      <c r="AA63" s="1096"/>
      <c r="AB63" s="1096"/>
      <c r="AC63" s="1096"/>
      <c r="AD63" s="1096"/>
      <c r="AE63" s="1096"/>
      <c r="AF63" s="1096"/>
      <c r="AG63" s="1096"/>
      <c r="AH63" s="1096"/>
      <c r="AI63" s="1096"/>
      <c r="AJ63" s="1096"/>
      <c r="AK63" s="1096"/>
      <c r="AL63" s="1096"/>
      <c r="AM63" s="1096"/>
      <c r="AN63" s="1096"/>
      <c r="AO63" s="1096"/>
      <c r="AP63" s="1096"/>
      <c r="AQ63" s="1096"/>
      <c r="AR63" s="1096"/>
      <c r="AS63" s="1096"/>
      <c r="AT63" s="1096"/>
      <c r="AU63" s="1096"/>
      <c r="AV63" s="1096"/>
      <c r="AW63" s="1096"/>
      <c r="AX63" s="1096"/>
      <c r="AY63" s="1096"/>
      <c r="AZ63" s="1096"/>
      <c r="BA63" s="1096"/>
      <c r="BB63" s="1096"/>
      <c r="BC63" s="1096"/>
      <c r="BD63" s="1096"/>
      <c r="BE63" s="1096"/>
      <c r="BF63" s="1096"/>
      <c r="BG63" s="1096"/>
      <c r="BH63" s="1096"/>
      <c r="BI63" s="1096"/>
      <c r="BJ63" s="1096"/>
      <c r="BK63" s="1096"/>
      <c r="BL63" s="1096"/>
      <c r="BM63" s="1096"/>
      <c r="BN63" s="1096"/>
      <c r="BO63" s="1096"/>
      <c r="BP63" s="1096"/>
      <c r="BQ63" s="1096"/>
      <c r="BR63" s="1096"/>
      <c r="BS63" s="1096"/>
      <c r="BT63" s="1096"/>
      <c r="BU63" s="1096"/>
    </row>
    <row r="64" spans="1:73" x14ac:dyDescent="0.25">
      <c r="A64" s="1096"/>
      <c r="B64" s="1116">
        <f t="shared" si="6"/>
        <v>14</v>
      </c>
      <c r="C64" s="1101">
        <v>1</v>
      </c>
      <c r="D64" s="1101">
        <v>1</v>
      </c>
      <c r="E64" s="1101">
        <v>1</v>
      </c>
      <c r="F64" s="1101">
        <v>1</v>
      </c>
      <c r="G64" s="1101">
        <v>1</v>
      </c>
      <c r="H64" s="1101">
        <v>1</v>
      </c>
      <c r="I64" s="1101">
        <f>+F9</f>
        <v>0.95</v>
      </c>
      <c r="J64" s="1096"/>
      <c r="K64" s="1114">
        <v>1.3127473710850819</v>
      </c>
      <c r="L64" s="1115">
        <v>0</v>
      </c>
      <c r="M64" s="1115">
        <v>6.0102079727676302E-4</v>
      </c>
      <c r="N64" s="1115">
        <v>5.5266169313149496E-2</v>
      </c>
      <c r="O64" s="1115">
        <v>7.7619458215004659E-3</v>
      </c>
      <c r="P64" s="1115">
        <v>1.6199278792039386E-2</v>
      </c>
      <c r="Q64" s="1115">
        <v>4.4939791076757435E-4</v>
      </c>
      <c r="R64" s="1115">
        <v>5.9924728859570725E-4</v>
      </c>
      <c r="S64" s="1115">
        <v>5.7541891654106489E-2</v>
      </c>
      <c r="T64" s="1115">
        <v>1.0323787971615324</v>
      </c>
      <c r="U64" s="1115">
        <v>0</v>
      </c>
      <c r="V64" s="1115">
        <v>9.7719295943352394E-2</v>
      </c>
      <c r="W64" s="1115">
        <v>3.6306116293509466E-2</v>
      </c>
      <c r="X64" s="1115">
        <v>7.4952981260624236E-3</v>
      </c>
      <c r="Y64" s="1115">
        <v>1.6309535777419199E-3</v>
      </c>
      <c r="Z64" s="1230"/>
      <c r="AA64" s="1096"/>
      <c r="AB64" s="1096"/>
      <c r="AC64" s="1096"/>
      <c r="AD64" s="1096"/>
      <c r="AE64" s="1096"/>
      <c r="AF64" s="1096"/>
      <c r="AG64" s="1096"/>
      <c r="AH64" s="1096"/>
      <c r="AI64" s="1096"/>
      <c r="AJ64" s="1096"/>
      <c r="AK64" s="1096"/>
      <c r="AL64" s="1096"/>
      <c r="AM64" s="1096"/>
      <c r="AN64" s="1096"/>
      <c r="AO64" s="1096"/>
      <c r="AP64" s="1096"/>
      <c r="AQ64" s="1096"/>
      <c r="AR64" s="1096"/>
      <c r="AS64" s="1096"/>
      <c r="AT64" s="1096"/>
      <c r="AU64" s="1096"/>
      <c r="AV64" s="1096"/>
      <c r="AW64" s="1096"/>
      <c r="AX64" s="1096"/>
      <c r="AY64" s="1096"/>
      <c r="AZ64" s="1096"/>
      <c r="BA64" s="1096"/>
      <c r="BB64" s="1096"/>
      <c r="BC64" s="1096"/>
      <c r="BD64" s="1096"/>
      <c r="BE64" s="1096"/>
      <c r="BF64" s="1096"/>
      <c r="BG64" s="1096"/>
      <c r="BH64" s="1096"/>
      <c r="BI64" s="1096"/>
      <c r="BJ64" s="1096"/>
      <c r="BK64" s="1096"/>
      <c r="BL64" s="1096"/>
      <c r="BM64" s="1096"/>
      <c r="BN64" s="1096"/>
      <c r="BO64" s="1096"/>
      <c r="BP64" s="1096"/>
      <c r="BQ64" s="1096"/>
      <c r="BR64" s="1096"/>
      <c r="BS64" s="1096"/>
      <c r="BT64" s="1096"/>
      <c r="BU64" s="1096"/>
    </row>
    <row r="65" spans="1:73" ht="13" thickBot="1" x14ac:dyDescent="0.3">
      <c r="A65" s="1096"/>
      <c r="B65" s="1219">
        <f t="shared" si="6"/>
        <v>15</v>
      </c>
      <c r="C65" s="1220">
        <v>1</v>
      </c>
      <c r="D65" s="1220">
        <v>1</v>
      </c>
      <c r="E65" s="1220">
        <v>1</v>
      </c>
      <c r="F65" s="1220">
        <v>1</v>
      </c>
      <c r="G65" s="1220">
        <v>1</v>
      </c>
      <c r="H65" s="1220">
        <v>1</v>
      </c>
      <c r="I65" s="1220">
        <f>+G9</f>
        <v>1.05</v>
      </c>
      <c r="J65" s="1221"/>
      <c r="K65" s="1222">
        <v>1.3189157233865563</v>
      </c>
      <c r="L65" s="1223">
        <v>0</v>
      </c>
      <c r="M65" s="1223">
        <v>6.0102079727676302E-4</v>
      </c>
      <c r="N65" s="1223">
        <v>5.5266169313149496E-2</v>
      </c>
      <c r="O65" s="1223">
        <v>7.7619458215004659E-3</v>
      </c>
      <c r="P65" s="1223">
        <v>1.6281938396131103E-2</v>
      </c>
      <c r="Q65" s="1223">
        <v>4.4939791076757435E-4</v>
      </c>
      <c r="R65" s="1223">
        <v>5.9924728859570725E-4</v>
      </c>
      <c r="S65" s="1223">
        <v>6.3598932880854525E-2</v>
      </c>
      <c r="T65" s="1223">
        <v>1.0323787971615324</v>
      </c>
      <c r="U65" s="1223">
        <v>0</v>
      </c>
      <c r="V65" s="1223">
        <v>9.7719295943352394E-2</v>
      </c>
      <c r="W65" s="1223">
        <v>3.6306116293509466E-2</v>
      </c>
      <c r="X65" s="1223">
        <v>7.5239495966969681E-3</v>
      </c>
      <c r="Y65" s="1223">
        <v>1.6309535777419199E-3</v>
      </c>
      <c r="Z65" s="1230"/>
      <c r="AA65" s="1096"/>
      <c r="AB65" s="1096"/>
      <c r="AC65" s="1096"/>
      <c r="AD65" s="1096"/>
      <c r="AE65" s="1096"/>
      <c r="AF65" s="1096"/>
      <c r="AG65" s="1096"/>
      <c r="AH65" s="1096"/>
      <c r="AI65" s="1096"/>
      <c r="AJ65" s="1096"/>
      <c r="AK65" s="1096"/>
      <c r="AL65" s="1096"/>
      <c r="AM65" s="1096"/>
      <c r="AN65" s="1096"/>
      <c r="AO65" s="1096"/>
      <c r="AP65" s="1096"/>
      <c r="AQ65" s="1096"/>
      <c r="AR65" s="1096"/>
      <c r="AS65" s="1096"/>
      <c r="AT65" s="1096"/>
      <c r="AU65" s="1096"/>
      <c r="AV65" s="1096"/>
      <c r="AW65" s="1096"/>
      <c r="AX65" s="1096"/>
      <c r="AY65" s="1096"/>
      <c r="AZ65" s="1096"/>
      <c r="BA65" s="1096"/>
      <c r="BB65" s="1096"/>
      <c r="BC65" s="1096"/>
      <c r="BD65" s="1096"/>
      <c r="BE65" s="1096"/>
      <c r="BF65" s="1096"/>
      <c r="BG65" s="1096"/>
      <c r="BH65" s="1096"/>
      <c r="BI65" s="1096"/>
      <c r="BJ65" s="1096"/>
      <c r="BK65" s="1096"/>
      <c r="BL65" s="1096"/>
      <c r="BM65" s="1096"/>
      <c r="BN65" s="1096"/>
      <c r="BO65" s="1096"/>
      <c r="BP65" s="1096"/>
      <c r="BQ65" s="1096"/>
      <c r="BR65" s="1096"/>
      <c r="BS65" s="1096"/>
      <c r="BT65" s="1096"/>
      <c r="BU65" s="1096"/>
    </row>
    <row r="66" spans="1:73" ht="13" thickTop="1" x14ac:dyDescent="0.25">
      <c r="A66" s="1096"/>
      <c r="B66" s="1215">
        <f t="shared" si="6"/>
        <v>16</v>
      </c>
      <c r="C66" s="1216">
        <f>(C$72=1)*$F$3
+(C$72=2)
+(C$72=3)
+(C$72=4)
+(C$72=5)</f>
        <v>1</v>
      </c>
      <c r="D66" s="1216">
        <v>1</v>
      </c>
      <c r="E66" s="1216">
        <v>1</v>
      </c>
      <c r="F66" s="1216">
        <f>(F$72=1)*$F$6
+(F$72=2)
+(F$72=3)
+(F$72=4)
+(F$72=5)</f>
        <v>0.95</v>
      </c>
      <c r="G66" s="1216">
        <f>(G$72=1)*$F$7
+(G$72=2)
+(G$72=3)
+(G$72=4)
+(G$72=5)</f>
        <v>1</v>
      </c>
      <c r="H66" s="1216">
        <f>(H$72=1)*$F$8
+(H$72=2)
+(H$72=3)
+(H$72=4)
+(H$72=5)</f>
        <v>1</v>
      </c>
      <c r="I66" s="1216">
        <f>(I$72=1)*$F$9
+(I$72=2)
+(I$72=3)
+(I$72=4)
+(I$72=5)</f>
        <v>1</v>
      </c>
      <c r="J66" s="1096"/>
      <c r="K66" s="1217">
        <v>1.2632645525367054</v>
      </c>
      <c r="L66" s="1218">
        <v>0</v>
      </c>
      <c r="M66" s="1218">
        <v>6.0102079727676302E-4</v>
      </c>
      <c r="N66" s="1218">
        <v>5.5266169313149496E-2</v>
      </c>
      <c r="O66" s="1218">
        <v>7.7619458215004659E-3</v>
      </c>
      <c r="P66" s="1218">
        <v>1.5536583069130654E-2</v>
      </c>
      <c r="Q66" s="1218">
        <v>4.4939791076757435E-4</v>
      </c>
      <c r="R66" s="1218">
        <v>5.9924728859570725E-4</v>
      </c>
      <c r="S66" s="1218">
        <v>6.0570412267480507E-2</v>
      </c>
      <c r="T66" s="1218">
        <v>0.98075985730345538</v>
      </c>
      <c r="U66" s="1218">
        <v>0</v>
      </c>
      <c r="V66" s="1218">
        <v>9.7719295943352394E-2</v>
      </c>
      <c r="W66" s="1218">
        <v>3.6306116293509466E-2</v>
      </c>
      <c r="X66" s="1218">
        <v>7.2655945452964809E-3</v>
      </c>
      <c r="Y66" s="1218">
        <v>1.6309535777419199E-3</v>
      </c>
      <c r="Z66" s="1230"/>
      <c r="AA66" s="1096"/>
      <c r="AB66" s="1096"/>
      <c r="AC66" s="1096"/>
      <c r="AD66" s="1096"/>
      <c r="AE66" s="1096"/>
      <c r="AF66" s="1096"/>
      <c r="AG66" s="1096"/>
      <c r="AH66" s="1096"/>
      <c r="AI66" s="1096"/>
      <c r="AJ66" s="1096"/>
      <c r="AK66" s="1096"/>
      <c r="AL66" s="1096"/>
      <c r="AM66" s="1096"/>
      <c r="AN66" s="1096"/>
      <c r="AO66" s="1096"/>
      <c r="AP66" s="1096"/>
      <c r="AQ66" s="1096"/>
      <c r="AR66" s="1096"/>
      <c r="AS66" s="1096"/>
      <c r="AT66" s="1096"/>
      <c r="AU66" s="1096"/>
      <c r="AV66" s="1096"/>
      <c r="AW66" s="1096"/>
      <c r="AX66" s="1096"/>
      <c r="AY66" s="1096"/>
      <c r="AZ66" s="1096"/>
      <c r="BA66" s="1096"/>
      <c r="BB66" s="1096"/>
      <c r="BC66" s="1096"/>
      <c r="BD66" s="1096"/>
      <c r="BE66" s="1096"/>
      <c r="BF66" s="1096"/>
      <c r="BG66" s="1096"/>
      <c r="BH66" s="1096"/>
      <c r="BI66" s="1096"/>
      <c r="BJ66" s="1096"/>
      <c r="BK66" s="1096"/>
      <c r="BL66" s="1096"/>
      <c r="BM66" s="1096"/>
      <c r="BN66" s="1096"/>
      <c r="BO66" s="1096"/>
      <c r="BP66" s="1096"/>
      <c r="BQ66" s="1096"/>
      <c r="BR66" s="1096"/>
      <c r="BS66" s="1096"/>
      <c r="BT66" s="1096"/>
      <c r="BU66" s="1096"/>
    </row>
    <row r="67" spans="1:73" x14ac:dyDescent="0.25">
      <c r="A67" s="1096"/>
      <c r="B67" s="1108">
        <f t="shared" si="6"/>
        <v>17</v>
      </c>
      <c r="C67" s="1216">
        <f>(C$72=1)*$F$3
+(C$72=2)*$F$3
+(C$72=3)
+(C$72=4)
+(C$72=5)</f>
        <v>1.05</v>
      </c>
      <c r="D67" s="1101">
        <v>1</v>
      </c>
      <c r="E67" s="1101">
        <v>1</v>
      </c>
      <c r="F67" s="1216">
        <f>(F$72=1)*$F$6
+(F$72=2)*$F$6
+(F$72=3)
+(F$72=4)
+(F$72=5)</f>
        <v>0.95</v>
      </c>
      <c r="G67" s="1216">
        <f>(G$72=1)*$F$7
+(G$72=2)*$F$7
+(G$72=3)
+(G$72=4)
+(G$72=5)</f>
        <v>1</v>
      </c>
      <c r="H67" s="1216">
        <f>(H$72=1)*$F$8
+(H$72=2)*$F$8
+(H$72=3)
+(H$72=4)
+(H$72=5)</f>
        <v>1</v>
      </c>
      <c r="I67" s="1216">
        <f>(I$72=1)*$F$9
+(I$72=2)*$F$9
+(I$72=3)
+(I$72=4)
+(I$72=5)</f>
        <v>1</v>
      </c>
      <c r="J67" s="1096"/>
      <c r="K67" s="1114">
        <v>1.2542066969699335</v>
      </c>
      <c r="L67" s="1115">
        <v>0</v>
      </c>
      <c r="M67" s="1115">
        <v>5.7240075931120292E-4</v>
      </c>
      <c r="N67" s="1115">
        <v>5.2634446964904276E-2</v>
      </c>
      <c r="O67" s="1115">
        <v>7.3923293538099679E-3</v>
      </c>
      <c r="P67" s="1115">
        <v>1.5481116177003122E-2</v>
      </c>
      <c r="Q67" s="1115">
        <v>4.2799801025483265E-4</v>
      </c>
      <c r="R67" s="1115">
        <v>5.7071170342448305E-4</v>
      </c>
      <c r="S67" s="1115">
        <v>5.7686106921410005E-2</v>
      </c>
      <c r="T67" s="1115">
        <v>0.98075985730345561</v>
      </c>
      <c r="U67" s="1115">
        <v>0</v>
      </c>
      <c r="V67" s="1115">
        <v>9.6539158251886595E-2</v>
      </c>
      <c r="W67" s="1115">
        <v>3.4577253612866149E-2</v>
      </c>
      <c r="X67" s="1115">
        <v>7.1568303085703389E-3</v>
      </c>
      <c r="Y67" s="1115">
        <v>1.5532891216589713E-3</v>
      </c>
      <c r="Z67" s="1230"/>
      <c r="AA67" s="1096"/>
      <c r="AB67" s="1096"/>
      <c r="AC67" s="1096"/>
      <c r="AD67" s="1096"/>
      <c r="AE67" s="1096"/>
      <c r="AF67" s="1096"/>
      <c r="AG67" s="1096"/>
      <c r="AH67" s="1096"/>
      <c r="AI67" s="1096"/>
      <c r="AJ67" s="1096"/>
      <c r="AK67" s="1096"/>
      <c r="AL67" s="1096"/>
      <c r="AM67" s="1096"/>
      <c r="AN67" s="1096"/>
      <c r="AO67" s="1096"/>
      <c r="AP67" s="1096"/>
      <c r="AQ67" s="1096"/>
      <c r="AR67" s="1096"/>
      <c r="AS67" s="1096"/>
      <c r="AT67" s="1096"/>
      <c r="AU67" s="1096"/>
      <c r="AV67" s="1096"/>
      <c r="AW67" s="1096"/>
      <c r="AX67" s="1096"/>
      <c r="AY67" s="1096"/>
      <c r="AZ67" s="1096"/>
      <c r="BA67" s="1096"/>
      <c r="BB67" s="1096"/>
      <c r="BC67" s="1096"/>
      <c r="BD67" s="1096"/>
      <c r="BE67" s="1096"/>
      <c r="BF67" s="1096"/>
      <c r="BG67" s="1096"/>
      <c r="BH67" s="1096"/>
      <c r="BI67" s="1096"/>
      <c r="BJ67" s="1096"/>
      <c r="BK67" s="1096"/>
      <c r="BL67" s="1096"/>
      <c r="BM67" s="1096"/>
      <c r="BN67" s="1096"/>
      <c r="BO67" s="1096"/>
      <c r="BP67" s="1096"/>
      <c r="BQ67" s="1096"/>
      <c r="BR67" s="1096"/>
      <c r="BS67" s="1096"/>
      <c r="BT67" s="1096"/>
      <c r="BU67" s="1096"/>
    </row>
    <row r="68" spans="1:73" x14ac:dyDescent="0.25">
      <c r="A68" s="1096"/>
      <c r="B68" s="1116">
        <f t="shared" si="6"/>
        <v>18</v>
      </c>
      <c r="C68" s="1216">
        <f>(C$72=1)*$F$3
+(C$72=2)*$F$3
+(C$72=3)*$F$3
+(C$72=4)
+(C$72=5)</f>
        <v>1.05</v>
      </c>
      <c r="D68" s="1101">
        <v>1</v>
      </c>
      <c r="E68" s="1101">
        <v>1</v>
      </c>
      <c r="F68" s="1216">
        <f>(F$72=1)*$F$6
+(F$72=2)*$F$6
+(F$72=3)*$F$6
+(F$72=4)
+(F$72=5)</f>
        <v>0.95</v>
      </c>
      <c r="G68" s="1216">
        <f>(G$72=1)*$F$7
+(G$72=2)*$F$7
+(G$72=3)*$F$7
+(G$72=4)
+(G$72=5)</f>
        <v>1</v>
      </c>
      <c r="H68" s="1216">
        <f>(H$72=1)*$F$8
+(H$72=2)*$F$8
+(H$72=3)*$F$8
+(H$72=4)
+(H$72=5)</f>
        <v>0.95</v>
      </c>
      <c r="I68" s="1216">
        <f>(I$72=1)*$F$9
+(I$72=2)*$F$9
+(I$72=3)*$F$9
+(I$72=4)
+(I$72=5)</f>
        <v>1</v>
      </c>
      <c r="J68" s="1096"/>
      <c r="K68" s="1114">
        <v>1.2482564794418398</v>
      </c>
      <c r="L68" s="1115">
        <v>0</v>
      </c>
      <c r="M68" s="1115">
        <v>5.4378072134564272E-4</v>
      </c>
      <c r="N68" s="1115">
        <v>4.999493587481648E-2</v>
      </c>
      <c r="O68" s="1115">
        <v>7.3923293538099679E-3</v>
      </c>
      <c r="P68" s="1115">
        <v>1.5461272869674509E-2</v>
      </c>
      <c r="Q68" s="1115">
        <v>4.2799801025483265E-4</v>
      </c>
      <c r="R68" s="1115">
        <v>5.4209166545892307E-4</v>
      </c>
      <c r="S68" s="1115">
        <v>5.6232050470436494E-2</v>
      </c>
      <c r="T68" s="1115">
        <v>0.98075985730345561</v>
      </c>
      <c r="U68" s="1115">
        <v>0</v>
      </c>
      <c r="V68" s="1115">
        <v>9.6539158251886595E-2</v>
      </c>
      <c r="W68" s="1115">
        <v>3.284327425830405E-2</v>
      </c>
      <c r="X68" s="1115">
        <v>7.1318972921780863E-3</v>
      </c>
      <c r="Y68" s="1115">
        <v>1.4753948129096965E-3</v>
      </c>
      <c r="Z68" s="1230"/>
      <c r="AA68" s="1096"/>
      <c r="AB68" s="1096"/>
      <c r="AC68" s="1096"/>
      <c r="AD68" s="1096"/>
      <c r="AE68" s="1096"/>
      <c r="AF68" s="1096"/>
      <c r="AG68" s="1096"/>
      <c r="AH68" s="1096"/>
      <c r="AI68" s="1096"/>
      <c r="AJ68" s="1096"/>
      <c r="AK68" s="1096"/>
      <c r="AL68" s="1096"/>
      <c r="AM68" s="1096"/>
      <c r="AN68" s="1096"/>
      <c r="AO68" s="1096"/>
      <c r="AP68" s="1096"/>
      <c r="AQ68" s="1096"/>
      <c r="AR68" s="1096"/>
      <c r="AS68" s="1096"/>
      <c r="AT68" s="1096"/>
      <c r="AU68" s="1096"/>
      <c r="AV68" s="1096"/>
      <c r="AW68" s="1096"/>
      <c r="AX68" s="1096"/>
      <c r="AY68" s="1096"/>
      <c r="AZ68" s="1096"/>
      <c r="BA68" s="1096"/>
      <c r="BB68" s="1096"/>
      <c r="BC68" s="1096"/>
      <c r="BD68" s="1096"/>
      <c r="BE68" s="1096"/>
      <c r="BF68" s="1096"/>
      <c r="BG68" s="1096"/>
      <c r="BH68" s="1096"/>
      <c r="BI68" s="1096"/>
      <c r="BJ68" s="1096"/>
      <c r="BK68" s="1096"/>
      <c r="BL68" s="1096"/>
      <c r="BM68" s="1096"/>
      <c r="BN68" s="1096"/>
      <c r="BO68" s="1096"/>
      <c r="BP68" s="1096"/>
      <c r="BQ68" s="1096"/>
      <c r="BR68" s="1096"/>
      <c r="BS68" s="1096"/>
      <c r="BT68" s="1096"/>
      <c r="BU68" s="1096"/>
    </row>
    <row r="69" spans="1:73" x14ac:dyDescent="0.25">
      <c r="A69" s="1096"/>
      <c r="B69" s="1116">
        <f t="shared" si="6"/>
        <v>19</v>
      </c>
      <c r="C69" s="1216">
        <f>(C$72=1)*$F$3
+(C$72=2)*$F$3
+(C$72=3)*$F$3
+(C$72=4)*$F$3
+(C$72=5)</f>
        <v>1.05</v>
      </c>
      <c r="D69" s="1101">
        <v>1</v>
      </c>
      <c r="E69" s="1101">
        <v>1</v>
      </c>
      <c r="F69" s="1216">
        <f>(F$72=1)*$F$6
+(F$72=2)*$F$6
+(F$72=3)*$F$6
+(F$72=4)*$F$6
+(F$72=5)</f>
        <v>0.95</v>
      </c>
      <c r="G69" s="1216">
        <f>(G$72=1)*$F$7
+(G$72=2)*$F$7
+(G$72=3)*$F$7
+(G$72=4)*$F$7
+(G$72=5)</f>
        <v>1</v>
      </c>
      <c r="H69" s="1216">
        <f>(H$72=1)*$F$8
+(H$72=2)*$F$8
+(H$72=3)*$F$8
+(H$72=4)*$F$8
+(H$72=5)</f>
        <v>0.95</v>
      </c>
      <c r="I69" s="1216">
        <f>(I$72=1)*$F$9
+(I$72=2)*$F$9
+(I$72=3)*$F$9
+(I$72=4)*$F$9
+(I$72=5)</f>
        <v>0.95</v>
      </c>
      <c r="J69" s="1096"/>
      <c r="K69" s="1114">
        <v>1.2453932077143497</v>
      </c>
      <c r="L69" s="1115">
        <v>0</v>
      </c>
      <c r="M69" s="1115">
        <v>5.4378072134564272E-4</v>
      </c>
      <c r="N69" s="1115">
        <v>4.999493587481648E-2</v>
      </c>
      <c r="O69" s="1115">
        <v>7.3923293538099679E-3</v>
      </c>
      <c r="P69" s="1115">
        <v>1.5422903318806797E-2</v>
      </c>
      <c r="Q69" s="1115">
        <v>4.2799801025483265E-4</v>
      </c>
      <c r="R69" s="1115">
        <v>5.4209166545892307E-4</v>
      </c>
      <c r="S69" s="1115">
        <v>5.3420447946914626E-2</v>
      </c>
      <c r="T69" s="1115">
        <v>0.98075985730345561</v>
      </c>
      <c r="U69" s="1115">
        <v>0</v>
      </c>
      <c r="V69" s="1115">
        <v>9.6539158251886595E-2</v>
      </c>
      <c r="W69" s="1115">
        <v>3.284327425830405E-2</v>
      </c>
      <c r="X69" s="1115">
        <v>7.1185976390763283E-3</v>
      </c>
      <c r="Y69" s="1115">
        <v>1.4753948129096965E-3</v>
      </c>
      <c r="Z69" s="1230"/>
      <c r="AA69" s="1096"/>
      <c r="AB69" s="1096"/>
      <c r="AC69" s="1096"/>
      <c r="AD69" s="1096"/>
      <c r="AE69" s="1096"/>
      <c r="AF69" s="1096"/>
      <c r="AG69" s="1096"/>
      <c r="AH69" s="1096"/>
      <c r="AI69" s="1096"/>
      <c r="AJ69" s="1096"/>
      <c r="AK69" s="1096"/>
      <c r="AL69" s="1096"/>
      <c r="AM69" s="1096"/>
      <c r="AN69" s="1096"/>
      <c r="AO69" s="1096"/>
      <c r="AP69" s="1096"/>
      <c r="AQ69" s="1096"/>
      <c r="AR69" s="1096"/>
      <c r="AS69" s="1096"/>
      <c r="AT69" s="1096"/>
      <c r="AU69" s="1096"/>
      <c r="AV69" s="1096"/>
      <c r="AW69" s="1096"/>
      <c r="AX69" s="1096"/>
      <c r="AY69" s="1096"/>
      <c r="AZ69" s="1096"/>
      <c r="BA69" s="1096"/>
      <c r="BB69" s="1096"/>
      <c r="BC69" s="1096"/>
      <c r="BD69" s="1096"/>
      <c r="BE69" s="1096"/>
      <c r="BF69" s="1096"/>
      <c r="BG69" s="1096"/>
      <c r="BH69" s="1096"/>
      <c r="BI69" s="1096"/>
      <c r="BJ69" s="1096"/>
      <c r="BK69" s="1096"/>
      <c r="BL69" s="1096"/>
      <c r="BM69" s="1096"/>
      <c r="BN69" s="1096"/>
      <c r="BO69" s="1096"/>
      <c r="BP69" s="1096"/>
      <c r="BQ69" s="1096"/>
      <c r="BR69" s="1096"/>
      <c r="BS69" s="1096"/>
      <c r="BT69" s="1096"/>
      <c r="BU69" s="1096"/>
    </row>
    <row r="70" spans="1:73" x14ac:dyDescent="0.25">
      <c r="A70" s="1096"/>
      <c r="B70" s="1108">
        <f t="shared" si="6"/>
        <v>20</v>
      </c>
      <c r="C70" s="1216">
        <f>(C$72=1)*$F$3
+(C$72=2)*$F$3
+(C$72=3)*$F$3
+(C$72=4)*$F$3
+(C$72=5)*$F$3</f>
        <v>1.05</v>
      </c>
      <c r="D70" s="1101">
        <v>1</v>
      </c>
      <c r="E70" s="1101">
        <v>1</v>
      </c>
      <c r="F70" s="1216">
        <f>(F$72=1)*$F$6
+(F$72=2)*$F$6
+(F$72=3)*$F$6
+(F$72=4)*$F$6
+(F$72=5)*$F$6</f>
        <v>0.95</v>
      </c>
      <c r="G70" s="1216">
        <f>(G$72=1)*$F$7
+(G$72=2)*$F$7
+(G$72=3)*$F$7
+(G$72=4)*$F$7
+(G$72=5)*$F$7</f>
        <v>0.95</v>
      </c>
      <c r="H70" s="1216">
        <f>(H$72=1)*$F$8
+(H$72=2)*$F$8
+(H$72=3)*$F$8
+(H$72=4)*$F$8
+(H$72=5)*$F$8</f>
        <v>0.95</v>
      </c>
      <c r="I70" s="1216">
        <f>(I$72=1)*$F$9
+(I$72=2)*$F$9
+(I$72=3)*$F$9
+(I$72=4)*$F$9
+(I$72=5)*$F$9</f>
        <v>0.95</v>
      </c>
      <c r="J70" s="1096"/>
      <c r="K70" s="1114">
        <v>1.2429299166040118</v>
      </c>
      <c r="L70" s="1115">
        <v>0</v>
      </c>
      <c r="M70" s="1115">
        <v>5.4378072134564272E-4</v>
      </c>
      <c r="N70" s="1115">
        <v>4.999493587481648E-2</v>
      </c>
      <c r="O70" s="1115">
        <v>7.3923293538099679E-3</v>
      </c>
      <c r="P70" s="1115">
        <v>1.5389896676493361E-2</v>
      </c>
      <c r="Q70" s="1115">
        <v>4.2799801025483265E-4</v>
      </c>
      <c r="R70" s="1115">
        <v>5.4209166545892307E-4</v>
      </c>
      <c r="S70" s="1115">
        <v>5.3420447946914626E-2</v>
      </c>
      <c r="T70" s="1115">
        <v>0.98075985730345561</v>
      </c>
      <c r="U70" s="1115">
        <v>0</v>
      </c>
      <c r="V70" s="1115">
        <v>9.4120314545687339E-2</v>
      </c>
      <c r="W70" s="1115">
        <v>3.284327425830405E-2</v>
      </c>
      <c r="X70" s="1115">
        <v>7.1071568772510417E-3</v>
      </c>
      <c r="Y70" s="1115">
        <v>1.4753948129096965E-3</v>
      </c>
      <c r="Z70" s="1230"/>
      <c r="AA70" s="1096"/>
      <c r="AB70" s="1096"/>
      <c r="AC70" s="1096"/>
      <c r="AD70" s="1096"/>
      <c r="AE70" s="1096"/>
      <c r="AF70" s="1096"/>
      <c r="AG70" s="1096"/>
      <c r="AH70" s="1096"/>
      <c r="AI70" s="1096"/>
      <c r="AJ70" s="1096"/>
      <c r="AK70" s="1096"/>
      <c r="AL70" s="1096"/>
      <c r="AM70" s="1096"/>
      <c r="AN70" s="1096"/>
      <c r="AO70" s="1096"/>
      <c r="AP70" s="1096"/>
      <c r="AQ70" s="1096"/>
      <c r="AR70" s="1096"/>
      <c r="AS70" s="1096"/>
      <c r="AT70" s="1096"/>
      <c r="AU70" s="1096"/>
      <c r="AV70" s="1096"/>
      <c r="AW70" s="1096"/>
      <c r="AX70" s="1096"/>
      <c r="AY70" s="1096"/>
      <c r="AZ70" s="1096"/>
      <c r="BA70" s="1096"/>
      <c r="BB70" s="1096"/>
      <c r="BC70" s="1096"/>
      <c r="BD70" s="1096"/>
      <c r="BE70" s="1096"/>
      <c r="BF70" s="1096"/>
      <c r="BG70" s="1096"/>
      <c r="BH70" s="1096"/>
      <c r="BI70" s="1096"/>
      <c r="BJ70" s="1096"/>
      <c r="BK70" s="1096"/>
      <c r="BL70" s="1096"/>
      <c r="BM70" s="1096"/>
      <c r="BN70" s="1096"/>
      <c r="BO70" s="1096"/>
      <c r="BP70" s="1096"/>
      <c r="BQ70" s="1096"/>
      <c r="BR70" s="1096"/>
      <c r="BS70" s="1096"/>
      <c r="BT70" s="1096"/>
      <c r="BU70" s="1096"/>
    </row>
    <row r="71" spans="1:73" x14ac:dyDescent="0.25">
      <c r="A71" s="1096"/>
      <c r="B71" s="1096"/>
      <c r="C71" s="1096"/>
      <c r="D71" s="1096"/>
      <c r="E71" s="1096"/>
      <c r="F71" s="1096"/>
      <c r="G71" s="1096"/>
      <c r="H71" s="1096"/>
      <c r="I71" s="1096"/>
      <c r="J71" s="1096"/>
      <c r="K71" s="1096"/>
      <c r="L71" s="1096"/>
      <c r="M71" s="1096"/>
      <c r="N71" s="1096"/>
      <c r="O71" s="1096"/>
      <c r="P71" s="1096"/>
      <c r="Q71" s="1096"/>
      <c r="R71" s="1096"/>
      <c r="S71" s="1096"/>
      <c r="T71" s="1096"/>
      <c r="U71" s="1096"/>
      <c r="V71" s="1096"/>
      <c r="W71" s="1096"/>
      <c r="X71" s="1096"/>
      <c r="Y71" s="1096"/>
      <c r="Z71" s="1096"/>
      <c r="AA71" s="1096"/>
      <c r="AB71" s="1096"/>
      <c r="AC71" s="1096"/>
      <c r="AD71" s="1096"/>
      <c r="AE71" s="1096"/>
      <c r="AF71" s="1096"/>
      <c r="AG71" s="1096"/>
      <c r="AH71" s="1096"/>
      <c r="AI71" s="1096"/>
      <c r="AJ71" s="1096"/>
      <c r="AK71" s="1096"/>
      <c r="AL71" s="1096"/>
      <c r="AM71" s="1096"/>
      <c r="AN71" s="1096"/>
      <c r="AO71" s="1096"/>
      <c r="AP71" s="1096"/>
      <c r="AQ71" s="1096"/>
      <c r="AR71" s="1096"/>
      <c r="AS71" s="1096"/>
      <c r="AT71" s="1096"/>
      <c r="AU71" s="1096"/>
      <c r="AV71" s="1096"/>
      <c r="AW71" s="1096"/>
      <c r="AX71" s="1096"/>
      <c r="AY71" s="1096"/>
      <c r="AZ71" s="1096"/>
      <c r="BA71" s="1096"/>
      <c r="BB71" s="1096"/>
      <c r="BC71" s="1096"/>
      <c r="BD71" s="1096"/>
      <c r="BE71" s="1096"/>
      <c r="BF71" s="1096"/>
      <c r="BG71" s="1096"/>
      <c r="BH71" s="1096"/>
      <c r="BI71" s="1096"/>
      <c r="BJ71" s="1096"/>
      <c r="BK71" s="1096"/>
      <c r="BL71" s="1096"/>
      <c r="BM71" s="1096"/>
      <c r="BN71" s="1096"/>
      <c r="BO71" s="1096"/>
      <c r="BP71" s="1096"/>
      <c r="BQ71" s="1096"/>
      <c r="BR71" s="1096"/>
      <c r="BS71" s="1096"/>
      <c r="BT71" s="1096"/>
      <c r="BU71" s="1096"/>
    </row>
    <row r="72" spans="1:73" x14ac:dyDescent="0.25">
      <c r="A72" s="1096"/>
      <c r="B72" s="1224" t="s">
        <v>1183</v>
      </c>
      <c r="C72" s="1100">
        <f>6-RANK($N$101,($N$101,$N$104:$N$107))</f>
        <v>2</v>
      </c>
      <c r="D72" s="1225"/>
      <c r="E72" s="1225"/>
      <c r="F72" s="1100">
        <f>6-RANK($N$104,($N$101,$N$104:$N$107))</f>
        <v>1</v>
      </c>
      <c r="G72" s="1100">
        <f>6-RANK($N$105,($N$101,$N$104:$N$107))</f>
        <v>5</v>
      </c>
      <c r="H72" s="1100">
        <f>6-RANK($N$106,($N$101,$N$104:$N$107))</f>
        <v>3</v>
      </c>
      <c r="I72" s="1100">
        <f>6-RANK($N$107,($N$101,$N$104:$N$107))</f>
        <v>4</v>
      </c>
      <c r="J72" s="1096"/>
      <c r="K72" s="1096"/>
      <c r="L72" s="1096"/>
      <c r="M72" s="1096"/>
      <c r="N72" s="1096"/>
      <c r="O72" s="1096"/>
      <c r="P72" s="1096"/>
      <c r="Q72" s="1096"/>
      <c r="R72" s="1096"/>
      <c r="S72" s="1096"/>
      <c r="T72" s="1096"/>
      <c r="U72" s="1096"/>
      <c r="V72" s="1096"/>
      <c r="W72" s="1096"/>
      <c r="X72" s="1096"/>
      <c r="Y72" s="1096"/>
      <c r="Z72" s="1096"/>
      <c r="AA72" s="1096"/>
      <c r="AB72" s="1096"/>
      <c r="AC72" s="1096"/>
      <c r="AD72" s="1096"/>
      <c r="AE72" s="1096"/>
      <c r="AF72" s="1096"/>
      <c r="AG72" s="1096"/>
      <c r="AH72" s="1096"/>
      <c r="AI72" s="1096"/>
      <c r="AJ72" s="1096"/>
      <c r="AK72" s="1096"/>
      <c r="AL72" s="1096"/>
      <c r="AM72" s="1096"/>
      <c r="AN72" s="1096"/>
      <c r="AO72" s="1096"/>
      <c r="AP72" s="1096"/>
      <c r="AQ72" s="1096"/>
      <c r="AR72" s="1096"/>
      <c r="AS72" s="1096"/>
      <c r="AT72" s="1096"/>
      <c r="AU72" s="1096"/>
      <c r="AV72" s="1096"/>
      <c r="AW72" s="1096"/>
      <c r="AX72" s="1096"/>
      <c r="AY72" s="1096"/>
      <c r="AZ72" s="1096"/>
      <c r="BA72" s="1096"/>
      <c r="BB72" s="1096"/>
      <c r="BC72" s="1096"/>
      <c r="BD72" s="1096"/>
      <c r="BE72" s="1096"/>
      <c r="BF72" s="1096"/>
      <c r="BG72" s="1096"/>
      <c r="BH72" s="1096"/>
      <c r="BI72" s="1096"/>
      <c r="BJ72" s="1096"/>
      <c r="BK72" s="1096"/>
      <c r="BL72" s="1096"/>
      <c r="BM72" s="1096"/>
      <c r="BN72" s="1096"/>
      <c r="BO72" s="1096"/>
      <c r="BP72" s="1096"/>
      <c r="BQ72" s="1096"/>
      <c r="BR72" s="1096"/>
      <c r="BS72" s="1096"/>
      <c r="BT72" s="1096"/>
      <c r="BU72" s="1096"/>
    </row>
    <row r="73" spans="1:73" x14ac:dyDescent="0.25">
      <c r="A73" s="1096"/>
      <c r="B73" s="1096"/>
      <c r="C73" s="1096"/>
      <c r="D73" s="1096"/>
      <c r="E73" s="1096"/>
      <c r="F73" s="1096"/>
      <c r="G73" s="1096"/>
      <c r="H73" s="1096"/>
      <c r="I73" s="1096"/>
      <c r="J73" s="1096"/>
      <c r="K73" s="1096"/>
      <c r="L73" s="1096"/>
      <c r="M73" s="1096"/>
      <c r="N73" s="1096"/>
      <c r="O73" s="1096"/>
      <c r="P73" s="1096"/>
      <c r="Q73" s="1096"/>
      <c r="R73" s="1096"/>
      <c r="S73" s="1096"/>
      <c r="T73" s="1096"/>
      <c r="U73" s="1096"/>
      <c r="V73" s="1096"/>
      <c r="W73" s="1096"/>
      <c r="X73" s="1096"/>
      <c r="Y73" s="1096"/>
      <c r="Z73" s="1096"/>
      <c r="AA73" s="1096"/>
      <c r="AB73" s="1096"/>
      <c r="AC73" s="1096"/>
      <c r="AD73" s="1096"/>
      <c r="AE73" s="1096"/>
      <c r="AF73" s="1096"/>
      <c r="AG73" s="1096"/>
      <c r="AH73" s="1096"/>
      <c r="AI73" s="1096"/>
      <c r="AJ73" s="1096"/>
      <c r="AK73" s="1096"/>
      <c r="AL73" s="1096"/>
      <c r="AM73" s="1096"/>
      <c r="AN73" s="1096"/>
      <c r="AO73" s="1096"/>
      <c r="AP73" s="1096"/>
      <c r="AQ73" s="1096"/>
      <c r="AR73" s="1096"/>
      <c r="AS73" s="1096"/>
      <c r="AT73" s="1096"/>
      <c r="AU73" s="1096"/>
      <c r="AV73" s="1096"/>
      <c r="AW73" s="1096"/>
      <c r="AX73" s="1096"/>
      <c r="AY73" s="1096"/>
      <c r="AZ73" s="1096"/>
      <c r="BA73" s="1096"/>
      <c r="BB73" s="1096"/>
      <c r="BC73" s="1096"/>
      <c r="BD73" s="1096"/>
      <c r="BE73" s="1096"/>
      <c r="BF73" s="1096"/>
      <c r="BG73" s="1096"/>
      <c r="BH73" s="1096"/>
      <c r="BI73" s="1096"/>
      <c r="BJ73" s="1096"/>
      <c r="BK73" s="1096"/>
      <c r="BL73" s="1096"/>
      <c r="BM73" s="1096"/>
      <c r="BN73" s="1096"/>
      <c r="BO73" s="1096"/>
      <c r="BP73" s="1096"/>
      <c r="BQ73" s="1096"/>
      <c r="BR73" s="1096"/>
      <c r="BS73" s="1096"/>
      <c r="BT73" s="1096"/>
      <c r="BU73" s="1096"/>
    </row>
    <row r="74" spans="1:73" ht="13" x14ac:dyDescent="0.3">
      <c r="A74" s="1096"/>
      <c r="B74" s="1098" t="s">
        <v>1147</v>
      </c>
      <c r="C74" s="1096"/>
      <c r="D74" s="1096"/>
      <c r="E74" s="1096"/>
      <c r="F74" s="1096"/>
      <c r="G74" s="1096"/>
      <c r="H74" s="1096"/>
      <c r="I74" s="1096"/>
      <c r="J74" s="1096"/>
      <c r="K74" s="1096"/>
      <c r="L74" s="1096"/>
      <c r="M74" s="1096"/>
      <c r="N74" s="1096"/>
      <c r="O74" s="1096"/>
      <c r="P74" s="1096"/>
      <c r="Q74" s="1096"/>
      <c r="R74" s="1096"/>
      <c r="S74" s="1096"/>
      <c r="T74" s="1096"/>
      <c r="U74" s="1096"/>
      <c r="V74" s="1096"/>
      <c r="W74" s="1096"/>
      <c r="X74" s="1096"/>
      <c r="Y74" s="1096"/>
      <c r="Z74" s="1096"/>
      <c r="AA74" s="1096"/>
      <c r="AB74" s="1096"/>
      <c r="AC74" s="1096"/>
      <c r="AD74" s="1096"/>
      <c r="AE74" s="1096"/>
      <c r="AF74" s="1096"/>
      <c r="AG74" s="1096"/>
      <c r="AH74" s="1096"/>
      <c r="AI74" s="1096"/>
      <c r="AJ74" s="1096"/>
      <c r="AK74" s="1096"/>
      <c r="AL74" s="1096"/>
      <c r="AM74" s="1096"/>
      <c r="AN74" s="1096"/>
      <c r="AO74" s="1096"/>
      <c r="AP74" s="1096"/>
      <c r="AQ74" s="1096"/>
      <c r="AR74" s="1096"/>
      <c r="AS74" s="1096"/>
      <c r="AT74" s="1096"/>
      <c r="AU74" s="1096"/>
      <c r="AV74" s="1096"/>
      <c r="AW74" s="1096"/>
      <c r="AX74" s="1096"/>
      <c r="AY74" s="1096"/>
      <c r="AZ74" s="1096"/>
      <c r="BA74" s="1096"/>
      <c r="BB74" s="1096"/>
      <c r="BC74" s="1096"/>
      <c r="BD74" s="1096"/>
      <c r="BE74" s="1096"/>
      <c r="BF74" s="1096"/>
      <c r="BG74" s="1096"/>
      <c r="BH74" s="1096"/>
      <c r="BI74" s="1096"/>
      <c r="BJ74" s="1096"/>
      <c r="BK74" s="1096"/>
      <c r="BL74" s="1096"/>
      <c r="BM74" s="1096"/>
      <c r="BN74" s="1096"/>
      <c r="BO74" s="1096"/>
      <c r="BP74" s="1096"/>
      <c r="BQ74" s="1096"/>
      <c r="BR74" s="1096"/>
      <c r="BS74" s="1096"/>
      <c r="BT74" s="1096"/>
      <c r="BU74" s="1096"/>
    </row>
    <row r="75" spans="1:73" x14ac:dyDescent="0.25">
      <c r="A75" s="1096"/>
      <c r="B75" s="1096"/>
      <c r="C75" s="1096"/>
      <c r="D75" s="1096"/>
      <c r="E75" s="1096"/>
      <c r="F75" s="1096"/>
      <c r="G75" s="1096"/>
      <c r="H75" s="1096"/>
      <c r="I75" s="1096"/>
      <c r="J75" s="1096"/>
      <c r="K75" s="1096"/>
      <c r="L75" s="1096"/>
      <c r="M75" s="1096"/>
      <c r="N75" s="1096"/>
      <c r="O75" s="1096"/>
      <c r="P75" s="1096"/>
      <c r="Q75" s="1096"/>
      <c r="R75" s="1096"/>
      <c r="S75" s="1096"/>
      <c r="T75" s="1096"/>
      <c r="U75" s="1096"/>
      <c r="V75" s="1096"/>
      <c r="W75" s="1096"/>
      <c r="X75" s="1096"/>
      <c r="Y75" s="1096"/>
      <c r="Z75" s="1096"/>
      <c r="AA75" s="1096"/>
      <c r="AB75" s="1096"/>
      <c r="AC75" s="1096"/>
      <c r="AD75" s="1096"/>
      <c r="AE75" s="1096"/>
      <c r="AF75" s="1096"/>
      <c r="AG75" s="1096"/>
      <c r="AH75" s="1096"/>
      <c r="AI75" s="1096"/>
      <c r="AJ75" s="1096"/>
      <c r="AK75" s="1096"/>
      <c r="AL75" s="1096"/>
      <c r="AM75" s="1096"/>
      <c r="AN75" s="1096"/>
      <c r="AO75" s="1096"/>
      <c r="AP75" s="1096"/>
      <c r="AQ75" s="1096"/>
      <c r="AR75" s="1096"/>
      <c r="AS75" s="1096"/>
      <c r="AT75" s="1096"/>
      <c r="AU75" s="1096"/>
      <c r="AV75" s="1096"/>
      <c r="AW75" s="1096"/>
      <c r="AX75" s="1096"/>
      <c r="AY75" s="1096"/>
      <c r="AZ75" s="1096"/>
      <c r="BA75" s="1096"/>
      <c r="BB75" s="1096"/>
      <c r="BC75" s="1096"/>
      <c r="BD75" s="1096"/>
      <c r="BE75" s="1096"/>
      <c r="BF75" s="1096"/>
      <c r="BG75" s="1096"/>
      <c r="BH75" s="1096"/>
      <c r="BI75" s="1096"/>
      <c r="BJ75" s="1096"/>
      <c r="BK75" s="1096"/>
      <c r="BL75" s="1096"/>
      <c r="BM75" s="1096"/>
      <c r="BN75" s="1096"/>
      <c r="BO75" s="1096"/>
      <c r="BP75" s="1096"/>
      <c r="BQ75" s="1096"/>
      <c r="BR75" s="1096"/>
      <c r="BS75" s="1096"/>
      <c r="BT75" s="1096"/>
      <c r="BU75" s="1096"/>
    </row>
    <row r="76" spans="1:73" ht="52" x14ac:dyDescent="0.3">
      <c r="A76" s="1096"/>
      <c r="B76" s="1107" t="s">
        <v>1144</v>
      </c>
      <c r="C76" s="1107" t="s">
        <v>1145</v>
      </c>
      <c r="D76" s="1107" t="s">
        <v>1146</v>
      </c>
      <c r="E76" s="1107" t="s">
        <v>1133</v>
      </c>
      <c r="F76" s="1107" t="s">
        <v>1134</v>
      </c>
      <c r="G76" s="1107" t="s">
        <v>993</v>
      </c>
      <c r="H76" s="1107" t="s">
        <v>122</v>
      </c>
      <c r="I76" s="1107" t="s">
        <v>123</v>
      </c>
      <c r="J76" s="1107" t="s">
        <v>1172</v>
      </c>
      <c r="K76" s="1107" t="s">
        <v>135</v>
      </c>
      <c r="L76" s="1107" t="s">
        <v>84</v>
      </c>
      <c r="M76" s="1107" t="s">
        <v>136</v>
      </c>
      <c r="N76" s="1107" t="s">
        <v>1132</v>
      </c>
      <c r="O76" s="1107" t="s">
        <v>137</v>
      </c>
      <c r="P76" s="1107" t="s">
        <v>138</v>
      </c>
      <c r="Q76" s="1107" t="s">
        <v>139</v>
      </c>
      <c r="R76" s="1107" t="s">
        <v>1138</v>
      </c>
      <c r="S76" s="1107" t="s">
        <v>45</v>
      </c>
      <c r="T76" s="1096"/>
      <c r="U76" s="1096"/>
      <c r="V76" s="1096"/>
      <c r="W76" s="1096"/>
      <c r="X76" s="1096"/>
      <c r="Y76" s="1096"/>
      <c r="Z76" s="1096"/>
      <c r="AA76" s="1096"/>
      <c r="AB76" s="1096"/>
      <c r="AC76" s="1096"/>
      <c r="AD76" s="1096"/>
      <c r="AE76" s="1096"/>
      <c r="AF76" s="1096"/>
      <c r="AG76" s="1096"/>
      <c r="AH76" s="1096"/>
      <c r="AI76" s="1096"/>
      <c r="AJ76" s="1096"/>
      <c r="AK76" s="1096"/>
      <c r="AL76" s="1096"/>
      <c r="AM76" s="1096"/>
      <c r="AN76" s="1096"/>
      <c r="AO76" s="1096"/>
      <c r="AP76" s="1096"/>
      <c r="AQ76" s="1096"/>
      <c r="AR76" s="1096"/>
      <c r="AS76" s="1096"/>
      <c r="AT76" s="1096"/>
      <c r="AU76" s="1096"/>
      <c r="AV76" s="1096"/>
      <c r="AW76" s="1096"/>
      <c r="AX76" s="1096"/>
      <c r="AY76" s="1096"/>
      <c r="AZ76" s="1096"/>
      <c r="BA76" s="1096"/>
      <c r="BB76" s="1096"/>
      <c r="BC76" s="1096"/>
      <c r="BD76" s="1096"/>
      <c r="BE76" s="1096"/>
      <c r="BF76" s="1096"/>
      <c r="BG76" s="1096"/>
      <c r="BH76" s="1096"/>
      <c r="BI76" s="1096"/>
      <c r="BJ76" s="1096"/>
      <c r="BK76" s="1096"/>
      <c r="BL76" s="1096"/>
      <c r="BM76" s="1096"/>
      <c r="BN76" s="1096"/>
      <c r="BO76" s="1096"/>
      <c r="BP76" s="1096"/>
      <c r="BQ76" s="1096"/>
      <c r="BR76" s="1096"/>
      <c r="BS76" s="1096"/>
      <c r="BT76" s="1096"/>
      <c r="BU76" s="1096"/>
    </row>
    <row r="77" spans="1:73" x14ac:dyDescent="0.25">
      <c r="A77" s="1096"/>
      <c r="B77" s="1100" t="str">
        <f>+$B$3</f>
        <v>Operating Capacity Factor</v>
      </c>
      <c r="C77" s="1109">
        <f ca="1">+H3</f>
        <v>0.94500000000000006</v>
      </c>
      <c r="D77" s="1109" t="str">
        <f ca="1">+B77&amp;" = "&amp;C77*100&amp;"%"</f>
        <v>Operating Capacity Factor = 94.5%</v>
      </c>
      <c r="E77" s="1113">
        <f t="shared" ref="E77:S77" si="7">+K52</f>
        <v>1.3067736916690487</v>
      </c>
      <c r="F77" s="1113">
        <f t="shared" si="7"/>
        <v>0</v>
      </c>
      <c r="G77" s="1113">
        <f t="shared" si="7"/>
        <v>5.7240075931120292E-4</v>
      </c>
      <c r="H77" s="1113">
        <f t="shared" si="7"/>
        <v>5.2634446964904276E-2</v>
      </c>
      <c r="I77" s="1113">
        <f t="shared" si="7"/>
        <v>7.3923293538099679E-3</v>
      </c>
      <c r="J77" s="1113">
        <f t="shared" si="7"/>
        <v>1.6185141701957721E-2</v>
      </c>
      <c r="K77" s="1113">
        <f t="shared" si="7"/>
        <v>4.2799801025483265E-4</v>
      </c>
      <c r="L77" s="1113">
        <f t="shared" si="7"/>
        <v>5.7071170342448305E-4</v>
      </c>
      <c r="M77" s="1113">
        <f t="shared" si="7"/>
        <v>5.7686106921410005E-2</v>
      </c>
      <c r="N77" s="1113">
        <f t="shared" si="7"/>
        <v>1.0323787971615324</v>
      </c>
      <c r="O77" s="1113">
        <f t="shared" si="7"/>
        <v>0</v>
      </c>
      <c r="P77" s="1113">
        <f t="shared" si="7"/>
        <v>9.6539158251886595E-2</v>
      </c>
      <c r="Q77" s="1113">
        <f t="shared" si="7"/>
        <v>3.4577253612866149E-2</v>
      </c>
      <c r="R77" s="1113">
        <f t="shared" si="7"/>
        <v>7.4008596246535564E-3</v>
      </c>
      <c r="S77" s="1113">
        <f t="shared" si="7"/>
        <v>1.5532891216589713E-3</v>
      </c>
      <c r="T77" s="1096"/>
      <c r="U77" s="1096"/>
      <c r="V77" s="1096"/>
      <c r="W77" s="1096"/>
      <c r="X77" s="1096"/>
      <c r="Y77" s="1096"/>
      <c r="Z77" s="1096"/>
      <c r="AA77" s="1096"/>
      <c r="AB77" s="1096"/>
      <c r="AC77" s="1096"/>
      <c r="AD77" s="1096"/>
      <c r="AE77" s="1096"/>
      <c r="AF77" s="1096"/>
      <c r="AG77" s="1096"/>
      <c r="AH77" s="1096"/>
      <c r="AI77" s="1096"/>
      <c r="AJ77" s="1096"/>
      <c r="AK77" s="1096"/>
      <c r="AL77" s="1096"/>
      <c r="AM77" s="1096"/>
      <c r="AN77" s="1096"/>
      <c r="AO77" s="1096"/>
      <c r="AP77" s="1096"/>
      <c r="AQ77" s="1096"/>
      <c r="AR77" s="1096"/>
      <c r="AS77" s="1096"/>
      <c r="AT77" s="1096"/>
      <c r="AU77" s="1096"/>
      <c r="AV77" s="1096"/>
      <c r="AW77" s="1096"/>
      <c r="AX77" s="1096"/>
      <c r="AY77" s="1096"/>
      <c r="AZ77" s="1096"/>
      <c r="BA77" s="1096"/>
      <c r="BB77" s="1096"/>
      <c r="BC77" s="1096"/>
      <c r="BD77" s="1096"/>
      <c r="BE77" s="1096"/>
      <c r="BF77" s="1096"/>
      <c r="BG77" s="1096"/>
      <c r="BH77" s="1096"/>
      <c r="BI77" s="1096"/>
      <c r="BJ77" s="1096"/>
      <c r="BK77" s="1096"/>
      <c r="BL77" s="1096"/>
      <c r="BM77" s="1096"/>
      <c r="BN77" s="1096"/>
      <c r="BO77" s="1096"/>
      <c r="BP77" s="1096"/>
      <c r="BQ77" s="1096"/>
      <c r="BR77" s="1096"/>
      <c r="BS77" s="1096"/>
      <c r="BT77" s="1096"/>
      <c r="BU77" s="1096"/>
    </row>
    <row r="78" spans="1:73" x14ac:dyDescent="0.25">
      <c r="A78" s="1096"/>
      <c r="B78" s="1100" t="str">
        <f t="shared" ref="B78:B79" si="8">+$B$3</f>
        <v>Operating Capacity Factor</v>
      </c>
      <c r="C78" s="1109">
        <f ca="1">+C3</f>
        <v>0.9</v>
      </c>
      <c r="D78" s="1100" t="str">
        <f t="shared" ref="D78:D79" ca="1" si="9">+B78&amp;" = "&amp;C78*100&amp;"%"</f>
        <v>Operating Capacity Factor = 90%</v>
      </c>
      <c r="E78" s="1113">
        <f t="shared" ref="E78:S78" si="10">+K$51</f>
        <v>1.3158315472358189</v>
      </c>
      <c r="F78" s="1113">
        <f t="shared" si="10"/>
        <v>0</v>
      </c>
      <c r="G78" s="1113">
        <f t="shared" si="10"/>
        <v>6.0102079727676302E-4</v>
      </c>
      <c r="H78" s="1113">
        <f t="shared" si="10"/>
        <v>5.5266169313149496E-2</v>
      </c>
      <c r="I78" s="1113">
        <f t="shared" si="10"/>
        <v>7.7619458215004659E-3</v>
      </c>
      <c r="J78" s="1113">
        <f t="shared" si="10"/>
        <v>1.6240608594085239E-2</v>
      </c>
      <c r="K78" s="1113">
        <f t="shared" si="10"/>
        <v>4.4939791076757435E-4</v>
      </c>
      <c r="L78" s="1113">
        <f t="shared" si="10"/>
        <v>5.9924728859570725E-4</v>
      </c>
      <c r="M78" s="1113">
        <f t="shared" si="10"/>
        <v>6.0570412267480507E-2</v>
      </c>
      <c r="N78" s="1113">
        <f t="shared" si="10"/>
        <v>1.0323787971615324</v>
      </c>
      <c r="O78" s="1113">
        <f t="shared" si="10"/>
        <v>0</v>
      </c>
      <c r="P78" s="1113">
        <f t="shared" si="10"/>
        <v>9.7719295943352394E-2</v>
      </c>
      <c r="Q78" s="1113">
        <f t="shared" si="10"/>
        <v>3.6306116293509466E-2</v>
      </c>
      <c r="R78" s="1113">
        <f t="shared" si="10"/>
        <v>7.5096238613796707E-3</v>
      </c>
      <c r="S78" s="1113">
        <f t="shared" si="10"/>
        <v>1.6309535777419199E-3</v>
      </c>
      <c r="T78" s="1096"/>
      <c r="U78" s="1096"/>
      <c r="V78" s="1096"/>
      <c r="W78" s="1096"/>
      <c r="X78" s="1096"/>
      <c r="Y78" s="1096"/>
      <c r="Z78" s="1096"/>
      <c r="AA78" s="1096"/>
      <c r="AB78" s="1096"/>
      <c r="AC78" s="1096"/>
      <c r="AD78" s="1096"/>
      <c r="AE78" s="1096"/>
      <c r="AF78" s="1096"/>
      <c r="AG78" s="1096"/>
      <c r="AH78" s="1096"/>
      <c r="AI78" s="1096"/>
      <c r="AJ78" s="1096"/>
      <c r="AK78" s="1096"/>
      <c r="AL78" s="1096"/>
      <c r="AM78" s="1096"/>
      <c r="AN78" s="1096"/>
      <c r="AO78" s="1096"/>
      <c r="AP78" s="1096"/>
      <c r="AQ78" s="1096"/>
      <c r="AR78" s="1096"/>
      <c r="AS78" s="1096"/>
      <c r="AT78" s="1096"/>
      <c r="AU78" s="1096"/>
      <c r="AV78" s="1096"/>
      <c r="AW78" s="1096"/>
      <c r="AX78" s="1096"/>
      <c r="AY78" s="1096"/>
      <c r="AZ78" s="1096"/>
      <c r="BA78" s="1096"/>
      <c r="BB78" s="1096"/>
      <c r="BC78" s="1096"/>
      <c r="BD78" s="1096"/>
      <c r="BE78" s="1096"/>
      <c r="BF78" s="1096"/>
      <c r="BG78" s="1096"/>
      <c r="BH78" s="1096"/>
      <c r="BI78" s="1096"/>
      <c r="BJ78" s="1096"/>
      <c r="BK78" s="1096"/>
      <c r="BL78" s="1096"/>
      <c r="BM78" s="1096"/>
      <c r="BN78" s="1096"/>
      <c r="BO78" s="1096"/>
      <c r="BP78" s="1096"/>
      <c r="BQ78" s="1096"/>
      <c r="BR78" s="1096"/>
      <c r="BS78" s="1096"/>
      <c r="BT78" s="1096"/>
      <c r="BU78" s="1096"/>
    </row>
    <row r="79" spans="1:73" x14ac:dyDescent="0.25">
      <c r="A79" s="1096"/>
      <c r="B79" s="1100" t="str">
        <f t="shared" si="8"/>
        <v>Operating Capacity Factor</v>
      </c>
      <c r="C79" s="1109">
        <f ca="1">+I3</f>
        <v>0.85499999999999998</v>
      </c>
      <c r="D79" s="1100" t="str">
        <f t="shared" ca="1" si="9"/>
        <v>Operating Capacity Factor = 85.5%</v>
      </c>
      <c r="E79" s="1113">
        <f t="shared" ref="E79:S80" si="11">+K53</f>
        <v>1.3258428612833015</v>
      </c>
      <c r="F79" s="1113">
        <f t="shared" si="11"/>
        <v>0</v>
      </c>
      <c r="G79" s="1113">
        <f t="shared" si="11"/>
        <v>6.3265347081764524E-4</v>
      </c>
      <c r="H79" s="1113">
        <f t="shared" si="11"/>
        <v>5.817491506647314E-2</v>
      </c>
      <c r="I79" s="1113">
        <f t="shared" si="11"/>
        <v>8.1704692857899625E-3</v>
      </c>
      <c r="J79" s="1113">
        <f t="shared" si="11"/>
        <v>1.6301914106436721E-2</v>
      </c>
      <c r="K79" s="1113">
        <f t="shared" si="11"/>
        <v>4.7305043238692035E-4</v>
      </c>
      <c r="L79" s="1113">
        <f t="shared" si="11"/>
        <v>6.307866195744287E-4</v>
      </c>
      <c r="M79" s="1113">
        <f t="shared" si="11"/>
        <v>6.375832870261107E-2</v>
      </c>
      <c r="N79" s="1113">
        <f t="shared" si="11"/>
        <v>1.0323787971615319</v>
      </c>
      <c r="O79" s="1113">
        <f t="shared" si="11"/>
        <v>0</v>
      </c>
      <c r="P79" s="1113">
        <f t="shared" si="11"/>
        <v>9.902365865497248E-2</v>
      </c>
      <c r="Q79" s="1113">
        <f t="shared" si="11"/>
        <v>3.8216964519483636E-2</v>
      </c>
      <c r="R79" s="1113">
        <f t="shared" si="11"/>
        <v>7.6298369651294946E-3</v>
      </c>
      <c r="S79" s="1113">
        <f t="shared" si="11"/>
        <v>1.7167932397283365E-3</v>
      </c>
      <c r="T79" s="1096"/>
      <c r="U79" s="1096"/>
      <c r="V79" s="1096"/>
      <c r="W79" s="1096"/>
      <c r="X79" s="1096"/>
      <c r="Y79" s="1096"/>
      <c r="Z79" s="1096"/>
      <c r="AA79" s="1096"/>
      <c r="AB79" s="1096"/>
      <c r="AC79" s="1096"/>
      <c r="AD79" s="1096"/>
      <c r="AE79" s="1096"/>
      <c r="AF79" s="1096"/>
      <c r="AG79" s="1096"/>
      <c r="AH79" s="1096"/>
      <c r="AI79" s="1096"/>
      <c r="AJ79" s="1096"/>
      <c r="AK79" s="1096"/>
      <c r="AL79" s="1096"/>
      <c r="AM79" s="1096"/>
      <c r="AN79" s="1096"/>
      <c r="AO79" s="1096"/>
      <c r="AP79" s="1096"/>
      <c r="AQ79" s="1096"/>
      <c r="AR79" s="1096"/>
      <c r="AS79" s="1096"/>
      <c r="AT79" s="1096"/>
      <c r="AU79" s="1096"/>
      <c r="AV79" s="1096"/>
      <c r="AW79" s="1096"/>
      <c r="AX79" s="1096"/>
      <c r="AY79" s="1096"/>
      <c r="AZ79" s="1096"/>
      <c r="BA79" s="1096"/>
      <c r="BB79" s="1096"/>
      <c r="BC79" s="1096"/>
      <c r="BD79" s="1096"/>
      <c r="BE79" s="1096"/>
      <c r="BF79" s="1096"/>
      <c r="BG79" s="1096"/>
      <c r="BH79" s="1096"/>
      <c r="BI79" s="1096"/>
      <c r="BJ79" s="1096"/>
      <c r="BK79" s="1096"/>
      <c r="BL79" s="1096"/>
      <c r="BM79" s="1096"/>
      <c r="BN79" s="1096"/>
      <c r="BO79" s="1096"/>
      <c r="BP79" s="1096"/>
      <c r="BQ79" s="1096"/>
      <c r="BR79" s="1096"/>
      <c r="BS79" s="1096"/>
      <c r="BT79" s="1096"/>
      <c r="BU79" s="1096"/>
    </row>
    <row r="80" spans="1:73" x14ac:dyDescent="0.25">
      <c r="A80" s="1096"/>
      <c r="B80" s="1100" t="str">
        <f>+$B$4</f>
        <v>Plant Design Capacity (kg of H2/day)</v>
      </c>
      <c r="C80" s="1118">
        <f ca="1">ROUND(H4,0)</f>
        <v>398356</v>
      </c>
      <c r="D80" s="1100" t="str">
        <f ca="1">+B80&amp;" = "&amp;TEXT(C80,"0,000")</f>
        <v>Plant Design Capacity (kg of H2/day) = 398,356</v>
      </c>
      <c r="E80" s="1113">
        <f t="shared" si="11"/>
        <v>1.3122440885996933</v>
      </c>
      <c r="F80" s="1113">
        <f t="shared" si="11"/>
        <v>0</v>
      </c>
      <c r="G80" s="1113">
        <f t="shared" si="11"/>
        <v>5.8940495240654596E-4</v>
      </c>
      <c r="H80" s="1113">
        <f t="shared" si="11"/>
        <v>5.4198047790198149E-2</v>
      </c>
      <c r="I80" s="1113">
        <f t="shared" si="11"/>
        <v>7.6119317804521358E-3</v>
      </c>
      <c r="J80" s="1113">
        <f t="shared" si="11"/>
        <v>1.621928654117042E-2</v>
      </c>
      <c r="K80" s="1113">
        <f t="shared" si="11"/>
        <v>4.407124602139028E-4</v>
      </c>
      <c r="L80" s="1113">
        <f t="shared" si="11"/>
        <v>5.8766572007966735E-4</v>
      </c>
      <c r="M80" s="1113">
        <f t="shared" si="11"/>
        <v>5.9007997893940803E-2</v>
      </c>
      <c r="N80" s="1113">
        <f t="shared" si="11"/>
        <v>1.0323787971615324</v>
      </c>
      <c r="O80" s="1113">
        <f t="shared" si="11"/>
        <v>0</v>
      </c>
      <c r="P80" s="1113">
        <f t="shared" si="11"/>
        <v>9.7719295943352408E-2</v>
      </c>
      <c r="Q80" s="1113">
        <f t="shared" si="11"/>
        <v>3.560443306288532E-2</v>
      </c>
      <c r="R80" s="1113">
        <f t="shared" si="11"/>
        <v>7.4658928321691097E-3</v>
      </c>
      <c r="S80" s="1113">
        <f t="shared" si="11"/>
        <v>1.5994323661042945E-3</v>
      </c>
      <c r="T80" s="1096"/>
      <c r="U80" s="1096"/>
      <c r="V80" s="1096"/>
      <c r="W80" s="1096"/>
      <c r="X80" s="1096"/>
      <c r="Y80" s="1096"/>
      <c r="Z80" s="1096"/>
      <c r="AA80" s="1096"/>
      <c r="AB80" s="1096"/>
      <c r="AC80" s="1096"/>
      <c r="AD80" s="1096"/>
      <c r="AE80" s="1096"/>
      <c r="AF80" s="1096"/>
      <c r="AG80" s="1096"/>
      <c r="AH80" s="1096"/>
      <c r="AI80" s="1096"/>
      <c r="AJ80" s="1096"/>
      <c r="AK80" s="1096"/>
      <c r="AL80" s="1096"/>
      <c r="AM80" s="1096"/>
      <c r="AN80" s="1096"/>
      <c r="AO80" s="1096"/>
      <c r="AP80" s="1096"/>
      <c r="AQ80" s="1096"/>
      <c r="AR80" s="1096"/>
      <c r="AS80" s="1096"/>
      <c r="AT80" s="1096"/>
      <c r="AU80" s="1096"/>
      <c r="AV80" s="1096"/>
      <c r="AW80" s="1096"/>
      <c r="AX80" s="1096"/>
      <c r="AY80" s="1096"/>
      <c r="AZ80" s="1096"/>
      <c r="BA80" s="1096"/>
      <c r="BB80" s="1096"/>
      <c r="BC80" s="1096"/>
      <c r="BD80" s="1096"/>
      <c r="BE80" s="1096"/>
      <c r="BF80" s="1096"/>
      <c r="BG80" s="1096"/>
      <c r="BH80" s="1096"/>
      <c r="BI80" s="1096"/>
      <c r="BJ80" s="1096"/>
      <c r="BK80" s="1096"/>
      <c r="BL80" s="1096"/>
      <c r="BM80" s="1096"/>
      <c r="BN80" s="1096"/>
      <c r="BO80" s="1096"/>
      <c r="BP80" s="1096"/>
      <c r="BQ80" s="1096"/>
      <c r="BR80" s="1096"/>
      <c r="BS80" s="1096"/>
      <c r="BT80" s="1096"/>
      <c r="BU80" s="1096"/>
    </row>
    <row r="81" spans="1:73" x14ac:dyDescent="0.25">
      <c r="A81" s="1096"/>
      <c r="B81" s="1100" t="str">
        <f t="shared" ref="B81:B82" si="12">+$B$4</f>
        <v>Plant Design Capacity (kg of H2/day)</v>
      </c>
      <c r="C81" s="1118">
        <f ca="1">+ROUND(C4,0)</f>
        <v>379387</v>
      </c>
      <c r="D81" s="1100" t="str">
        <f t="shared" ref="D81:D82" ca="1" si="13">+B81&amp;" = "&amp;TEXT(C81,"0,000")</f>
        <v>Plant Design Capacity (kg of H2/day) = 379,387</v>
      </c>
      <c r="E81" s="1113">
        <f t="shared" ref="E81:S81" si="14">+K$51</f>
        <v>1.3158315472358189</v>
      </c>
      <c r="F81" s="1113">
        <f t="shared" si="14"/>
        <v>0</v>
      </c>
      <c r="G81" s="1113">
        <f t="shared" si="14"/>
        <v>6.0102079727676302E-4</v>
      </c>
      <c r="H81" s="1113">
        <f t="shared" si="14"/>
        <v>5.5266169313149496E-2</v>
      </c>
      <c r="I81" s="1113">
        <f t="shared" si="14"/>
        <v>7.7619458215004659E-3</v>
      </c>
      <c r="J81" s="1113">
        <f t="shared" si="14"/>
        <v>1.6240608594085239E-2</v>
      </c>
      <c r="K81" s="1113">
        <f t="shared" si="14"/>
        <v>4.4939791076757435E-4</v>
      </c>
      <c r="L81" s="1113">
        <f t="shared" si="14"/>
        <v>5.9924728859570725E-4</v>
      </c>
      <c r="M81" s="1113">
        <f t="shared" si="14"/>
        <v>6.0570412267480507E-2</v>
      </c>
      <c r="N81" s="1113">
        <f t="shared" si="14"/>
        <v>1.0323787971615324</v>
      </c>
      <c r="O81" s="1113">
        <f t="shared" si="14"/>
        <v>0</v>
      </c>
      <c r="P81" s="1113">
        <f t="shared" si="14"/>
        <v>9.7719295943352394E-2</v>
      </c>
      <c r="Q81" s="1113">
        <f t="shared" si="14"/>
        <v>3.6306116293509466E-2</v>
      </c>
      <c r="R81" s="1113">
        <f t="shared" si="14"/>
        <v>7.5096238613796707E-3</v>
      </c>
      <c r="S81" s="1113">
        <f t="shared" si="14"/>
        <v>1.6309535777419199E-3</v>
      </c>
      <c r="T81" s="1096"/>
      <c r="U81" s="1096"/>
      <c r="V81" s="1096"/>
      <c r="W81" s="1096"/>
      <c r="X81" s="1096"/>
      <c r="Y81" s="1096"/>
      <c r="Z81" s="1096"/>
      <c r="AA81" s="1096"/>
      <c r="AB81" s="1096"/>
      <c r="AC81" s="1096"/>
      <c r="AD81" s="1096"/>
      <c r="AE81" s="1096"/>
      <c r="AF81" s="1096"/>
      <c r="AG81" s="1096"/>
      <c r="AH81" s="1096"/>
      <c r="AI81" s="1096"/>
      <c r="AJ81" s="1096"/>
      <c r="AK81" s="1096"/>
      <c r="AL81" s="1096"/>
      <c r="AM81" s="1096"/>
      <c r="AN81" s="1096"/>
      <c r="AO81" s="1096"/>
      <c r="AP81" s="1096"/>
      <c r="AQ81" s="1096"/>
      <c r="AR81" s="1096"/>
      <c r="AS81" s="1096"/>
      <c r="AT81" s="1096"/>
      <c r="AU81" s="1096"/>
      <c r="AV81" s="1096"/>
      <c r="AW81" s="1096"/>
      <c r="AX81" s="1096"/>
      <c r="AY81" s="1096"/>
      <c r="AZ81" s="1096"/>
      <c r="BA81" s="1096"/>
      <c r="BB81" s="1096"/>
      <c r="BC81" s="1096"/>
      <c r="BD81" s="1096"/>
      <c r="BE81" s="1096"/>
      <c r="BF81" s="1096"/>
      <c r="BG81" s="1096"/>
      <c r="BH81" s="1096"/>
      <c r="BI81" s="1096"/>
      <c r="BJ81" s="1096"/>
      <c r="BK81" s="1096"/>
      <c r="BL81" s="1096"/>
      <c r="BM81" s="1096"/>
      <c r="BN81" s="1096"/>
      <c r="BO81" s="1096"/>
      <c r="BP81" s="1096"/>
      <c r="BQ81" s="1096"/>
      <c r="BR81" s="1096"/>
      <c r="BS81" s="1096"/>
      <c r="BT81" s="1096"/>
      <c r="BU81" s="1096"/>
    </row>
    <row r="82" spans="1:73" x14ac:dyDescent="0.25">
      <c r="A82" s="1096"/>
      <c r="B82" s="1100" t="str">
        <f t="shared" si="12"/>
        <v>Plant Design Capacity (kg of H2/day)</v>
      </c>
      <c r="C82" s="1118">
        <f ca="1">ROUND(I4,0)</f>
        <v>360418</v>
      </c>
      <c r="D82" s="1100" t="str">
        <f t="shared" ca="1" si="13"/>
        <v>Plant Design Capacity (kg of H2/day) = 360,418</v>
      </c>
      <c r="E82" s="1113">
        <f t="shared" ref="E82:S83" si="15">+K55</f>
        <v>1.319695682762946</v>
      </c>
      <c r="F82" s="1113">
        <f t="shared" si="15"/>
        <v>0</v>
      </c>
      <c r="G82" s="1113">
        <f t="shared" si="15"/>
        <v>6.1347950453091672E-4</v>
      </c>
      <c r="H82" s="1113">
        <f t="shared" si="15"/>
        <v>5.6411795267610372E-2</v>
      </c>
      <c r="I82" s="1113">
        <f t="shared" si="15"/>
        <v>7.922845096784854E-3</v>
      </c>
      <c r="J82" s="1113">
        <f t="shared" si="15"/>
        <v>1.6263697116477172E-2</v>
      </c>
      <c r="K82" s="1113">
        <f t="shared" si="15"/>
        <v>4.5871359008557857E-4</v>
      </c>
      <c r="L82" s="1113">
        <f t="shared" si="15"/>
        <v>6.116692323542049E-4</v>
      </c>
      <c r="M82" s="1113">
        <f t="shared" si="15"/>
        <v>6.2262268084227745E-2</v>
      </c>
      <c r="N82" s="1113">
        <f t="shared" si="15"/>
        <v>1.0323787971615324</v>
      </c>
      <c r="O82" s="1113">
        <f t="shared" si="15"/>
        <v>0</v>
      </c>
      <c r="P82" s="1113">
        <f t="shared" si="15"/>
        <v>9.7719295943352449E-2</v>
      </c>
      <c r="Q82" s="1113">
        <f t="shared" si="15"/>
        <v>3.7058714666952805E-2</v>
      </c>
      <c r="R82" s="1113">
        <f t="shared" si="15"/>
        <v>7.5566040943380692E-3</v>
      </c>
      <c r="S82" s="1113">
        <f t="shared" si="15"/>
        <v>1.6647620137598912E-3</v>
      </c>
      <c r="T82" s="1096"/>
      <c r="U82" s="1096"/>
      <c r="V82" s="1096"/>
      <c r="W82" s="1096"/>
      <c r="X82" s="1096"/>
      <c r="Y82" s="1096"/>
      <c r="Z82" s="1096"/>
      <c r="AA82" s="1096"/>
      <c r="AB82" s="1096"/>
      <c r="AC82" s="1096"/>
      <c r="AD82" s="1096"/>
      <c r="AE82" s="1096"/>
      <c r="AF82" s="1096"/>
      <c r="AG82" s="1096"/>
      <c r="AH82" s="1096"/>
      <c r="AI82" s="1096"/>
      <c r="AJ82" s="1096"/>
      <c r="AK82" s="1096"/>
      <c r="AL82" s="1096"/>
      <c r="AM82" s="1096"/>
      <c r="AN82" s="1096"/>
      <c r="AO82" s="1096"/>
      <c r="AP82" s="1096"/>
      <c r="AQ82" s="1096"/>
      <c r="AR82" s="1096"/>
      <c r="AS82" s="1096"/>
      <c r="AT82" s="1096"/>
      <c r="AU82" s="1096"/>
      <c r="AV82" s="1096"/>
      <c r="AW82" s="1096"/>
      <c r="AX82" s="1096"/>
      <c r="AY82" s="1096"/>
      <c r="AZ82" s="1096"/>
      <c r="BA82" s="1096"/>
      <c r="BB82" s="1096"/>
      <c r="BC82" s="1096"/>
      <c r="BD82" s="1096"/>
      <c r="BE82" s="1096"/>
      <c r="BF82" s="1096"/>
      <c r="BG82" s="1096"/>
      <c r="BH82" s="1096"/>
      <c r="BI82" s="1096"/>
      <c r="BJ82" s="1096"/>
      <c r="BK82" s="1096"/>
      <c r="BL82" s="1096"/>
      <c r="BM82" s="1096"/>
      <c r="BN82" s="1096"/>
      <c r="BO82" s="1096"/>
      <c r="BP82" s="1096"/>
      <c r="BQ82" s="1096"/>
      <c r="BR82" s="1096"/>
      <c r="BS82" s="1096"/>
      <c r="BT82" s="1096"/>
      <c r="BU82" s="1096"/>
    </row>
    <row r="83" spans="1:73" x14ac:dyDescent="0.25">
      <c r="A83" s="1096"/>
      <c r="B83" s="1100" t="str">
        <f>+$B$5</f>
        <v>After-tax Real IRR</v>
      </c>
      <c r="C83" s="1109">
        <f ca="1">+ROUND(H5,2)</f>
        <v>0.08</v>
      </c>
      <c r="D83" s="1100" t="str">
        <f t="shared" ref="D83:D85" ca="1" si="16">+B83&amp;" = "&amp;C83*100&amp;"%"</f>
        <v>After-tax Real IRR = 8%</v>
      </c>
      <c r="E83" s="1113">
        <f t="shared" si="15"/>
        <v>1.3128499129124052</v>
      </c>
      <c r="F83" s="1113">
        <f t="shared" si="15"/>
        <v>0</v>
      </c>
      <c r="G83" s="1113">
        <f t="shared" si="15"/>
        <v>6.6642914449063437E-4</v>
      </c>
      <c r="H83" s="1113">
        <f t="shared" si="15"/>
        <v>5.2674233231365448E-2</v>
      </c>
      <c r="I83" s="1113">
        <f t="shared" si="15"/>
        <v>7.7497222141576739E-3</v>
      </c>
      <c r="J83" s="1113">
        <f t="shared" si="15"/>
        <v>1.5651153285881739E-2</v>
      </c>
      <c r="K83" s="1113">
        <f t="shared" si="15"/>
        <v>4.2639607246159413E-4</v>
      </c>
      <c r="L83" s="1113">
        <f t="shared" si="15"/>
        <v>6.6446262706159036E-4</v>
      </c>
      <c r="M83" s="1113">
        <f t="shared" si="15"/>
        <v>6.0521774595846796E-2</v>
      </c>
      <c r="N83" s="1113">
        <f t="shared" si="15"/>
        <v>1.0339044722805637</v>
      </c>
      <c r="O83" s="1113">
        <f t="shared" si="15"/>
        <v>0</v>
      </c>
      <c r="P83" s="1113">
        <f t="shared" si="15"/>
        <v>9.7664077180831033E-2</v>
      </c>
      <c r="Q83" s="1113">
        <f t="shared" si="15"/>
        <v>3.5668404314729105E-2</v>
      </c>
      <c r="R83" s="1113">
        <f t="shared" si="15"/>
        <v>6.7831980231811721E-3</v>
      </c>
      <c r="S83" s="1113">
        <f t="shared" si="15"/>
        <v>1.8084482308155067E-3</v>
      </c>
      <c r="T83" s="1096"/>
      <c r="U83" s="1096"/>
      <c r="V83" s="1096"/>
      <c r="W83" s="1096"/>
      <c r="X83" s="1096"/>
      <c r="Y83" s="1096"/>
      <c r="Z83" s="1096"/>
      <c r="AA83" s="1096"/>
      <c r="AB83" s="1096"/>
      <c r="AC83" s="1096"/>
      <c r="AD83" s="1096"/>
      <c r="AE83" s="1096"/>
      <c r="AF83" s="1096"/>
      <c r="AG83" s="1096"/>
      <c r="AH83" s="1096"/>
      <c r="AI83" s="1096"/>
      <c r="AJ83" s="1096"/>
      <c r="AK83" s="1096"/>
      <c r="AL83" s="1096"/>
      <c r="AM83" s="1096"/>
      <c r="AN83" s="1096"/>
      <c r="AO83" s="1096"/>
      <c r="AP83" s="1096"/>
      <c r="AQ83" s="1096"/>
      <c r="AR83" s="1096"/>
      <c r="AS83" s="1096"/>
      <c r="AT83" s="1096"/>
      <c r="AU83" s="1096"/>
      <c r="AV83" s="1096"/>
      <c r="AW83" s="1096"/>
      <c r="AX83" s="1096"/>
      <c r="AY83" s="1096"/>
      <c r="AZ83" s="1096"/>
      <c r="BA83" s="1096"/>
      <c r="BB83" s="1096"/>
      <c r="BC83" s="1096"/>
      <c r="BD83" s="1096"/>
      <c r="BE83" s="1096"/>
      <c r="BF83" s="1096"/>
      <c r="BG83" s="1096"/>
      <c r="BH83" s="1096"/>
      <c r="BI83" s="1096"/>
      <c r="BJ83" s="1096"/>
      <c r="BK83" s="1096"/>
      <c r="BL83" s="1096"/>
      <c r="BM83" s="1096"/>
      <c r="BN83" s="1096"/>
      <c r="BO83" s="1096"/>
      <c r="BP83" s="1096"/>
      <c r="BQ83" s="1096"/>
      <c r="BR83" s="1096"/>
      <c r="BS83" s="1096"/>
      <c r="BT83" s="1096"/>
      <c r="BU83" s="1096"/>
    </row>
    <row r="84" spans="1:73" x14ac:dyDescent="0.25">
      <c r="A84" s="1096"/>
      <c r="B84" s="1100" t="str">
        <f t="shared" ref="B84:B85" si="17">+$B$5</f>
        <v>After-tax Real IRR</v>
      </c>
      <c r="C84" s="1109">
        <f ca="1">ROUND(C5,2)</f>
        <v>0.08</v>
      </c>
      <c r="D84" s="1100" t="str">
        <f t="shared" ca="1" si="16"/>
        <v>After-tax Real IRR = 8%</v>
      </c>
      <c r="E84" s="1113">
        <f t="shared" ref="E84:S84" si="18">+K$51</f>
        <v>1.3158315472358189</v>
      </c>
      <c r="F84" s="1113">
        <f t="shared" si="18"/>
        <v>0</v>
      </c>
      <c r="G84" s="1113">
        <f t="shared" si="18"/>
        <v>6.0102079727676302E-4</v>
      </c>
      <c r="H84" s="1113">
        <f t="shared" si="18"/>
        <v>5.5266169313149496E-2</v>
      </c>
      <c r="I84" s="1113">
        <f t="shared" si="18"/>
        <v>7.7619458215004659E-3</v>
      </c>
      <c r="J84" s="1113">
        <f t="shared" si="18"/>
        <v>1.6240608594085239E-2</v>
      </c>
      <c r="K84" s="1113">
        <f t="shared" si="18"/>
        <v>4.4939791076757435E-4</v>
      </c>
      <c r="L84" s="1113">
        <f t="shared" si="18"/>
        <v>5.9924728859570725E-4</v>
      </c>
      <c r="M84" s="1113">
        <f t="shared" si="18"/>
        <v>6.0570412267480507E-2</v>
      </c>
      <c r="N84" s="1113">
        <f t="shared" si="18"/>
        <v>1.0323787971615324</v>
      </c>
      <c r="O84" s="1113">
        <f t="shared" si="18"/>
        <v>0</v>
      </c>
      <c r="P84" s="1113">
        <f t="shared" si="18"/>
        <v>9.7719295943352394E-2</v>
      </c>
      <c r="Q84" s="1113">
        <f t="shared" si="18"/>
        <v>3.6306116293509466E-2</v>
      </c>
      <c r="R84" s="1113">
        <f t="shared" si="18"/>
        <v>7.5096238613796707E-3</v>
      </c>
      <c r="S84" s="1113">
        <f t="shared" si="18"/>
        <v>1.6309535777419199E-3</v>
      </c>
      <c r="T84" s="1096"/>
      <c r="U84" s="1096"/>
      <c r="V84" s="1096"/>
      <c r="W84" s="1096"/>
      <c r="X84" s="1096"/>
      <c r="Y84" s="1096"/>
      <c r="Z84" s="1096"/>
      <c r="AA84" s="1096"/>
      <c r="AB84" s="1096"/>
      <c r="AC84" s="1096"/>
      <c r="AD84" s="1096"/>
      <c r="AE84" s="1096"/>
      <c r="AF84" s="1096"/>
      <c r="AG84" s="1096"/>
      <c r="AH84" s="1096"/>
      <c r="AI84" s="1096"/>
      <c r="AJ84" s="1096"/>
      <c r="AK84" s="1096"/>
      <c r="AL84" s="1096"/>
      <c r="AM84" s="1096"/>
      <c r="AN84" s="1096"/>
      <c r="AO84" s="1096"/>
      <c r="AP84" s="1096"/>
      <c r="AQ84" s="1096"/>
      <c r="AR84" s="1096"/>
      <c r="AS84" s="1096"/>
      <c r="AT84" s="1096"/>
      <c r="AU84" s="1096"/>
      <c r="AV84" s="1096"/>
      <c r="AW84" s="1096"/>
      <c r="AX84" s="1096"/>
      <c r="AY84" s="1096"/>
      <c r="AZ84" s="1096"/>
      <c r="BA84" s="1096"/>
      <c r="BB84" s="1096"/>
      <c r="BC84" s="1096"/>
      <c r="BD84" s="1096"/>
      <c r="BE84" s="1096"/>
      <c r="BF84" s="1096"/>
      <c r="BG84" s="1096"/>
      <c r="BH84" s="1096"/>
      <c r="BI84" s="1096"/>
      <c r="BJ84" s="1096"/>
      <c r="BK84" s="1096"/>
      <c r="BL84" s="1096"/>
      <c r="BM84" s="1096"/>
      <c r="BN84" s="1096"/>
      <c r="BO84" s="1096"/>
      <c r="BP84" s="1096"/>
      <c r="BQ84" s="1096"/>
      <c r="BR84" s="1096"/>
      <c r="BS84" s="1096"/>
      <c r="BT84" s="1096"/>
      <c r="BU84" s="1096"/>
    </row>
    <row r="85" spans="1:73" x14ac:dyDescent="0.25">
      <c r="A85" s="1096"/>
      <c r="B85" s="1100" t="str">
        <f t="shared" si="17"/>
        <v>After-tax Real IRR</v>
      </c>
      <c r="C85" s="1109">
        <f ca="1">ROUND(I5,2)</f>
        <v>0.08</v>
      </c>
      <c r="D85" s="1100" t="str">
        <f t="shared" ca="1" si="16"/>
        <v>After-tax Real IRR = 8%</v>
      </c>
      <c r="E85" s="1113">
        <f t="shared" ref="E85:S86" si="19">+K57</f>
        <v>1.3189847434874717</v>
      </c>
      <c r="F85" s="1113">
        <f t="shared" si="19"/>
        <v>0</v>
      </c>
      <c r="G85" s="1113">
        <f t="shared" si="19"/>
        <v>5.4159599348299408E-4</v>
      </c>
      <c r="H85" s="1113">
        <f t="shared" si="19"/>
        <v>5.790685701536278E-2</v>
      </c>
      <c r="I85" s="1113">
        <f t="shared" si="19"/>
        <v>7.7742656406916523E-3</v>
      </c>
      <c r="J85" s="1113">
        <f t="shared" si="19"/>
        <v>1.682510819902271E-2</v>
      </c>
      <c r="K85" s="1113">
        <f t="shared" si="19"/>
        <v>4.7298690136872033E-4</v>
      </c>
      <c r="L85" s="1113">
        <f t="shared" si="19"/>
        <v>5.3999783714561071E-4</v>
      </c>
      <c r="M85" s="1113">
        <f t="shared" si="19"/>
        <v>6.0619432765571073E-2</v>
      </c>
      <c r="N85" s="1113">
        <f t="shared" si="19"/>
        <v>1.030927595852317</v>
      </c>
      <c r="O85" s="1113">
        <f t="shared" si="19"/>
        <v>0</v>
      </c>
      <c r="P85" s="1113">
        <f t="shared" si="19"/>
        <v>9.7775641865214966E-2</v>
      </c>
      <c r="Q85" s="1113">
        <f t="shared" si="19"/>
        <v>3.6948341879524206E-2</v>
      </c>
      <c r="R85" s="1113">
        <f t="shared" si="19"/>
        <v>8.2664154222635861E-3</v>
      </c>
      <c r="S85" s="1113">
        <f t="shared" si="19"/>
        <v>1.4696961024711786E-3</v>
      </c>
      <c r="T85" s="1096"/>
      <c r="U85" s="1096"/>
      <c r="V85" s="1096"/>
      <c r="W85" s="1096"/>
      <c r="X85" s="1096"/>
      <c r="Y85" s="1096"/>
      <c r="Z85" s="1096"/>
      <c r="AA85" s="1096"/>
      <c r="AB85" s="1096"/>
      <c r="AC85" s="1096"/>
      <c r="AD85" s="1096"/>
      <c r="AE85" s="1096"/>
      <c r="AF85" s="1096"/>
      <c r="AG85" s="1096"/>
      <c r="AH85" s="1096"/>
      <c r="AI85" s="1096"/>
      <c r="AJ85" s="1096"/>
      <c r="AK85" s="1096"/>
      <c r="AL85" s="1096"/>
      <c r="AM85" s="1096"/>
      <c r="AN85" s="1096"/>
      <c r="AO85" s="1096"/>
      <c r="AP85" s="1096"/>
      <c r="AQ85" s="1096"/>
      <c r="AR85" s="1096"/>
      <c r="AS85" s="1096"/>
      <c r="AT85" s="1096"/>
      <c r="AU85" s="1096"/>
      <c r="AV85" s="1096"/>
      <c r="AW85" s="1096"/>
      <c r="AX85" s="1096"/>
      <c r="AY85" s="1096"/>
      <c r="AZ85" s="1096"/>
      <c r="BA85" s="1096"/>
      <c r="BB85" s="1096"/>
      <c r="BC85" s="1096"/>
      <c r="BD85" s="1096"/>
      <c r="BE85" s="1096"/>
      <c r="BF85" s="1096"/>
      <c r="BG85" s="1096"/>
      <c r="BH85" s="1096"/>
      <c r="BI85" s="1096"/>
      <c r="BJ85" s="1096"/>
      <c r="BK85" s="1096"/>
      <c r="BL85" s="1096"/>
      <c r="BM85" s="1096"/>
      <c r="BN85" s="1096"/>
      <c r="BO85" s="1096"/>
      <c r="BP85" s="1096"/>
      <c r="BQ85" s="1096"/>
      <c r="BR85" s="1096"/>
      <c r="BS85" s="1096"/>
      <c r="BT85" s="1096"/>
      <c r="BU85" s="1096"/>
    </row>
    <row r="86" spans="1:73" x14ac:dyDescent="0.25">
      <c r="A86" s="1096"/>
      <c r="B86" s="1100" t="str">
        <f>+$B$6</f>
        <v>Feedstock Consumption (% of baseline)</v>
      </c>
      <c r="C86" s="1100">
        <f>+ROUND(H6,3)</f>
        <v>0.95</v>
      </c>
      <c r="D86" s="1099" t="str">
        <f>+B86&amp;" = "&amp;C86*100&amp;"%"</f>
        <v>Feedstock Consumption (% of baseline) = 95%</v>
      </c>
      <c r="E86" s="1121">
        <f t="shared" si="19"/>
        <v>1.2632645525367054</v>
      </c>
      <c r="F86" s="1113">
        <f t="shared" si="19"/>
        <v>0</v>
      </c>
      <c r="G86" s="1113">
        <f t="shared" si="19"/>
        <v>6.0102079727676302E-4</v>
      </c>
      <c r="H86" s="1113">
        <f t="shared" si="19"/>
        <v>5.5266169313149496E-2</v>
      </c>
      <c r="I86" s="1113">
        <f t="shared" si="19"/>
        <v>7.7619458215004659E-3</v>
      </c>
      <c r="J86" s="1113">
        <f t="shared" si="19"/>
        <v>1.5536583069130654E-2</v>
      </c>
      <c r="K86" s="1113">
        <f t="shared" si="19"/>
        <v>4.4939791076757435E-4</v>
      </c>
      <c r="L86" s="1113">
        <f t="shared" si="19"/>
        <v>5.9924728859570725E-4</v>
      </c>
      <c r="M86" s="1113">
        <f t="shared" si="19"/>
        <v>6.0570412267480507E-2</v>
      </c>
      <c r="N86" s="1113">
        <f t="shared" si="19"/>
        <v>0.98075985730345538</v>
      </c>
      <c r="O86" s="1113">
        <f t="shared" si="19"/>
        <v>0</v>
      </c>
      <c r="P86" s="1113">
        <f t="shared" si="19"/>
        <v>9.7719295943352394E-2</v>
      </c>
      <c r="Q86" s="1113">
        <f t="shared" si="19"/>
        <v>3.6306116293509466E-2</v>
      </c>
      <c r="R86" s="1113">
        <f t="shared" si="19"/>
        <v>7.2655945452964809E-3</v>
      </c>
      <c r="S86" s="1113">
        <f t="shared" si="19"/>
        <v>1.6309535777419199E-3</v>
      </c>
      <c r="T86" s="1096"/>
      <c r="U86" s="1096"/>
      <c r="V86" s="1096"/>
      <c r="W86" s="1096"/>
      <c r="X86" s="1096"/>
      <c r="Y86" s="1096"/>
      <c r="Z86" s="1096"/>
      <c r="AA86" s="1096"/>
      <c r="AB86" s="1096"/>
      <c r="AC86" s="1096"/>
      <c r="AD86" s="1096"/>
      <c r="AE86" s="1096"/>
      <c r="AF86" s="1096"/>
      <c r="AG86" s="1096"/>
      <c r="AH86" s="1096"/>
      <c r="AI86" s="1096"/>
      <c r="AJ86" s="1096"/>
      <c r="AK86" s="1096"/>
      <c r="AL86" s="1096"/>
      <c r="AM86" s="1096"/>
      <c r="AN86" s="1096"/>
      <c r="AO86" s="1096"/>
      <c r="AP86" s="1096"/>
      <c r="AQ86" s="1096"/>
      <c r="AR86" s="1096"/>
      <c r="AS86" s="1096"/>
      <c r="AT86" s="1096"/>
      <c r="AU86" s="1096"/>
      <c r="AV86" s="1096"/>
      <c r="AW86" s="1096"/>
      <c r="AX86" s="1096"/>
      <c r="AY86" s="1096"/>
      <c r="AZ86" s="1096"/>
      <c r="BA86" s="1096"/>
      <c r="BB86" s="1096"/>
      <c r="BC86" s="1096"/>
      <c r="BD86" s="1096"/>
      <c r="BE86" s="1096"/>
      <c r="BF86" s="1096"/>
      <c r="BG86" s="1096"/>
      <c r="BH86" s="1096"/>
      <c r="BI86" s="1096"/>
      <c r="BJ86" s="1096"/>
      <c r="BK86" s="1096"/>
      <c r="BL86" s="1096"/>
      <c r="BM86" s="1096"/>
      <c r="BN86" s="1096"/>
      <c r="BO86" s="1096"/>
      <c r="BP86" s="1096"/>
      <c r="BQ86" s="1096"/>
      <c r="BR86" s="1096"/>
      <c r="BS86" s="1096"/>
      <c r="BT86" s="1096"/>
      <c r="BU86" s="1096"/>
    </row>
    <row r="87" spans="1:73" x14ac:dyDescent="0.25">
      <c r="A87" s="1096"/>
      <c r="B87" s="1100" t="str">
        <f t="shared" ref="B87:B88" si="20">+$B$6</f>
        <v>Feedstock Consumption (% of baseline)</v>
      </c>
      <c r="C87" s="1100">
        <f>+ROUND(C6,3)</f>
        <v>1</v>
      </c>
      <c r="D87" s="1099" t="str">
        <f>+B87&amp;" = "&amp;C87*100&amp;"%"</f>
        <v>Feedstock Consumption (% of baseline) = 100%</v>
      </c>
      <c r="E87" s="1121">
        <f t="shared" ref="E87:S87" si="21">+K$51</f>
        <v>1.3158315472358189</v>
      </c>
      <c r="F87" s="1113">
        <f t="shared" si="21"/>
        <v>0</v>
      </c>
      <c r="G87" s="1113">
        <f t="shared" si="21"/>
        <v>6.0102079727676302E-4</v>
      </c>
      <c r="H87" s="1113">
        <f t="shared" si="21"/>
        <v>5.5266169313149496E-2</v>
      </c>
      <c r="I87" s="1113">
        <f t="shared" si="21"/>
        <v>7.7619458215004659E-3</v>
      </c>
      <c r="J87" s="1113">
        <f t="shared" si="21"/>
        <v>1.6240608594085239E-2</v>
      </c>
      <c r="K87" s="1113">
        <f t="shared" si="21"/>
        <v>4.4939791076757435E-4</v>
      </c>
      <c r="L87" s="1113">
        <f t="shared" si="21"/>
        <v>5.9924728859570725E-4</v>
      </c>
      <c r="M87" s="1113">
        <f t="shared" si="21"/>
        <v>6.0570412267480507E-2</v>
      </c>
      <c r="N87" s="1113">
        <f t="shared" si="21"/>
        <v>1.0323787971615324</v>
      </c>
      <c r="O87" s="1113">
        <f t="shared" si="21"/>
        <v>0</v>
      </c>
      <c r="P87" s="1113">
        <f t="shared" si="21"/>
        <v>9.7719295943352394E-2</v>
      </c>
      <c r="Q87" s="1113">
        <f t="shared" si="21"/>
        <v>3.6306116293509466E-2</v>
      </c>
      <c r="R87" s="1113">
        <f t="shared" si="21"/>
        <v>7.5096238613796707E-3</v>
      </c>
      <c r="S87" s="1113">
        <f t="shared" si="21"/>
        <v>1.6309535777419199E-3</v>
      </c>
      <c r="T87" s="1096"/>
      <c r="U87" s="1096"/>
      <c r="V87" s="1096"/>
      <c r="W87" s="1096"/>
      <c r="X87" s="1096"/>
      <c r="Y87" s="1096"/>
      <c r="Z87" s="1096"/>
      <c r="AA87" s="1096"/>
      <c r="AB87" s="1096"/>
      <c r="AC87" s="1096"/>
      <c r="AD87" s="1096"/>
      <c r="AE87" s="1096"/>
      <c r="AF87" s="1096"/>
      <c r="AG87" s="1096"/>
      <c r="AH87" s="1096"/>
      <c r="AI87" s="1096"/>
      <c r="AJ87" s="1096"/>
      <c r="AK87" s="1096"/>
      <c r="AL87" s="1096"/>
      <c r="AM87" s="1096"/>
      <c r="AN87" s="1096"/>
      <c r="AO87" s="1096"/>
      <c r="AP87" s="1096"/>
      <c r="AQ87" s="1096"/>
      <c r="AR87" s="1096"/>
      <c r="AS87" s="1096"/>
      <c r="AT87" s="1096"/>
      <c r="AU87" s="1096"/>
      <c r="AV87" s="1096"/>
      <c r="AW87" s="1096"/>
      <c r="AX87" s="1096"/>
      <c r="AY87" s="1096"/>
      <c r="AZ87" s="1096"/>
      <c r="BA87" s="1096"/>
      <c r="BB87" s="1096"/>
      <c r="BC87" s="1096"/>
      <c r="BD87" s="1096"/>
      <c r="BE87" s="1096"/>
      <c r="BF87" s="1096"/>
      <c r="BG87" s="1096"/>
      <c r="BH87" s="1096"/>
      <c r="BI87" s="1096"/>
      <c r="BJ87" s="1096"/>
      <c r="BK87" s="1096"/>
      <c r="BL87" s="1096"/>
      <c r="BM87" s="1096"/>
      <c r="BN87" s="1096"/>
      <c r="BO87" s="1096"/>
      <c r="BP87" s="1096"/>
      <c r="BQ87" s="1096"/>
      <c r="BR87" s="1096"/>
      <c r="BS87" s="1096"/>
      <c r="BT87" s="1096"/>
      <c r="BU87" s="1096"/>
    </row>
    <row r="88" spans="1:73" x14ac:dyDescent="0.25">
      <c r="A88" s="1096"/>
      <c r="B88" s="1100" t="str">
        <f t="shared" si="20"/>
        <v>Feedstock Consumption (% of baseline)</v>
      </c>
      <c r="C88" s="1100">
        <f>+ROUND(I6,3)</f>
        <v>1.05</v>
      </c>
      <c r="D88" s="1099" t="str">
        <f>+B88&amp;" = "&amp;C88*100&amp;"%"</f>
        <v>Feedstock Consumption (% of baseline) = 105%</v>
      </c>
      <c r="E88" s="1121">
        <f t="shared" ref="E88:S89" si="22">+K59</f>
        <v>1.3683985419349336</v>
      </c>
      <c r="F88" s="1113">
        <f t="shared" si="22"/>
        <v>0</v>
      </c>
      <c r="G88" s="1113">
        <f t="shared" si="22"/>
        <v>6.0102079727676302E-4</v>
      </c>
      <c r="H88" s="1113">
        <f t="shared" si="22"/>
        <v>5.5266169313149496E-2</v>
      </c>
      <c r="I88" s="1113">
        <f t="shared" si="22"/>
        <v>7.7619458215004659E-3</v>
      </c>
      <c r="J88" s="1113">
        <f t="shared" si="22"/>
        <v>1.694463411903983E-2</v>
      </c>
      <c r="K88" s="1113">
        <f t="shared" si="22"/>
        <v>4.4939791076757435E-4</v>
      </c>
      <c r="L88" s="1113">
        <f t="shared" si="22"/>
        <v>5.9924728859570725E-4</v>
      </c>
      <c r="M88" s="1113">
        <f t="shared" si="22"/>
        <v>6.0570412267480507E-2</v>
      </c>
      <c r="N88" s="1113">
        <f t="shared" si="22"/>
        <v>1.083997737019609</v>
      </c>
      <c r="O88" s="1113">
        <f t="shared" si="22"/>
        <v>0</v>
      </c>
      <c r="P88" s="1113">
        <f t="shared" si="22"/>
        <v>9.7719295943352394E-2</v>
      </c>
      <c r="Q88" s="1113">
        <f t="shared" si="22"/>
        <v>3.6306116293509466E-2</v>
      </c>
      <c r="R88" s="1113">
        <f t="shared" si="22"/>
        <v>7.7536531774629099E-3</v>
      </c>
      <c r="S88" s="1113">
        <f t="shared" si="22"/>
        <v>1.6309535777419199E-3</v>
      </c>
      <c r="T88" s="1096"/>
      <c r="U88" s="1096"/>
      <c r="V88" s="1096"/>
      <c r="W88" s="1096"/>
      <c r="X88" s="1096"/>
      <c r="Y88" s="1096"/>
      <c r="Z88" s="1096"/>
      <c r="AA88" s="1096"/>
      <c r="AB88" s="1096"/>
      <c r="AC88" s="1096"/>
      <c r="AD88" s="1096"/>
      <c r="AE88" s="1096"/>
      <c r="AF88" s="1096"/>
      <c r="AG88" s="1096"/>
      <c r="AH88" s="1096"/>
      <c r="AI88" s="1096"/>
      <c r="AJ88" s="1096"/>
      <c r="AK88" s="1096"/>
      <c r="AL88" s="1096"/>
      <c r="AM88" s="1096"/>
      <c r="AN88" s="1096"/>
      <c r="AO88" s="1096"/>
      <c r="AP88" s="1096"/>
      <c r="AQ88" s="1096"/>
      <c r="AR88" s="1096"/>
      <c r="AS88" s="1096"/>
      <c r="AT88" s="1096"/>
      <c r="AU88" s="1096"/>
      <c r="AV88" s="1096"/>
      <c r="AW88" s="1096"/>
      <c r="AX88" s="1096"/>
      <c r="AY88" s="1096"/>
      <c r="AZ88" s="1096"/>
      <c r="BA88" s="1096"/>
      <c r="BB88" s="1096"/>
      <c r="BC88" s="1096"/>
      <c r="BD88" s="1096"/>
      <c r="BE88" s="1096"/>
      <c r="BF88" s="1096"/>
      <c r="BG88" s="1096"/>
      <c r="BH88" s="1096"/>
      <c r="BI88" s="1096"/>
      <c r="BJ88" s="1096"/>
      <c r="BK88" s="1096"/>
      <c r="BL88" s="1096"/>
      <c r="BM88" s="1096"/>
      <c r="BN88" s="1096"/>
      <c r="BO88" s="1096"/>
      <c r="BP88" s="1096"/>
      <c r="BQ88" s="1096"/>
      <c r="BR88" s="1096"/>
      <c r="BS88" s="1096"/>
      <c r="BT88" s="1096"/>
      <c r="BU88" s="1096"/>
    </row>
    <row r="89" spans="1:73" x14ac:dyDescent="0.25">
      <c r="A89" s="1096"/>
      <c r="B89" s="1100" t="str">
        <f>+$B$7</f>
        <v>Utilities Consumption (% of baseline)</v>
      </c>
      <c r="C89" s="1100">
        <f>+ROUND(H7,3)</f>
        <v>0.95</v>
      </c>
      <c r="D89" s="1099" t="str">
        <f t="shared" ref="D89:D91" si="23">+B89&amp;" = "&amp;C89*100&amp;"%"</f>
        <v>Utilities Consumption (% of baseline) = 95%</v>
      </c>
      <c r="E89" s="1121">
        <f t="shared" si="22"/>
        <v>1.3133682561254809</v>
      </c>
      <c r="F89" s="1121">
        <f t="shared" si="22"/>
        <v>0</v>
      </c>
      <c r="G89" s="1121">
        <f t="shared" si="22"/>
        <v>6.0102079727676302E-4</v>
      </c>
      <c r="H89" s="1121">
        <f t="shared" si="22"/>
        <v>5.5266169313149496E-2</v>
      </c>
      <c r="I89" s="1121">
        <f t="shared" si="22"/>
        <v>7.7619458215004659E-3</v>
      </c>
      <c r="J89" s="1121">
        <f t="shared" si="22"/>
        <v>1.6207601951771823E-2</v>
      </c>
      <c r="K89" s="1121">
        <f t="shared" si="22"/>
        <v>4.4939791076757435E-4</v>
      </c>
      <c r="L89" s="1121">
        <f t="shared" si="22"/>
        <v>5.9924728859570725E-4</v>
      </c>
      <c r="M89" s="1121">
        <f t="shared" si="22"/>
        <v>6.0570412267480507E-2</v>
      </c>
      <c r="N89" s="1121">
        <f t="shared" si="22"/>
        <v>1.0323787971615324</v>
      </c>
      <c r="O89" s="1121">
        <f t="shared" si="22"/>
        <v>0</v>
      </c>
      <c r="P89" s="1121">
        <f t="shared" si="22"/>
        <v>9.5300452237153138E-2</v>
      </c>
      <c r="Q89" s="1121">
        <f t="shared" si="22"/>
        <v>3.6306116293509466E-2</v>
      </c>
      <c r="R89" s="1121">
        <f t="shared" si="22"/>
        <v>7.4981830995544023E-3</v>
      </c>
      <c r="S89" s="1121">
        <f t="shared" si="22"/>
        <v>1.6309535777419199E-3</v>
      </c>
      <c r="T89" s="1096"/>
      <c r="U89" s="1096"/>
      <c r="V89" s="1096"/>
      <c r="W89" s="1096"/>
      <c r="X89" s="1096"/>
      <c r="Y89" s="1096"/>
      <c r="Z89" s="1096"/>
      <c r="AA89" s="1096"/>
      <c r="AB89" s="1096"/>
      <c r="AC89" s="1096"/>
      <c r="AD89" s="1096"/>
      <c r="AE89" s="1096"/>
      <c r="AF89" s="1096"/>
      <c r="AG89" s="1096"/>
      <c r="AH89" s="1096"/>
      <c r="AI89" s="1096"/>
      <c r="AJ89" s="1096"/>
      <c r="AK89" s="1096"/>
      <c r="AL89" s="1096"/>
      <c r="AM89" s="1096"/>
      <c r="AN89" s="1096"/>
      <c r="AO89" s="1096"/>
      <c r="AP89" s="1096"/>
      <c r="AQ89" s="1096"/>
      <c r="AR89" s="1096"/>
      <c r="AS89" s="1096"/>
      <c r="AT89" s="1096"/>
      <c r="AU89" s="1096"/>
      <c r="AV89" s="1096"/>
      <c r="AW89" s="1096"/>
      <c r="AX89" s="1096"/>
      <c r="AY89" s="1096"/>
      <c r="AZ89" s="1096"/>
      <c r="BA89" s="1096"/>
      <c r="BB89" s="1096"/>
      <c r="BC89" s="1096"/>
      <c r="BD89" s="1096"/>
      <c r="BE89" s="1096"/>
      <c r="BF89" s="1096"/>
      <c r="BG89" s="1096"/>
      <c r="BH89" s="1096"/>
      <c r="BI89" s="1096"/>
      <c r="BJ89" s="1096"/>
      <c r="BK89" s="1096"/>
      <c r="BL89" s="1096"/>
      <c r="BM89" s="1096"/>
      <c r="BN89" s="1096"/>
      <c r="BO89" s="1096"/>
      <c r="BP89" s="1096"/>
      <c r="BQ89" s="1096"/>
      <c r="BR89" s="1096"/>
      <c r="BS89" s="1096"/>
      <c r="BT89" s="1096"/>
      <c r="BU89" s="1096"/>
    </row>
    <row r="90" spans="1:73" x14ac:dyDescent="0.25">
      <c r="A90" s="1096"/>
      <c r="B90" s="1100" t="str">
        <f t="shared" ref="B90:B91" si="24">+$B$7</f>
        <v>Utilities Consumption (% of baseline)</v>
      </c>
      <c r="C90" s="1100">
        <f>+ROUND(C7,3)</f>
        <v>1</v>
      </c>
      <c r="D90" s="1099" t="str">
        <f t="shared" si="23"/>
        <v>Utilities Consumption (% of baseline) = 100%</v>
      </c>
      <c r="E90" s="1121">
        <f>+K$51</f>
        <v>1.3158315472358189</v>
      </c>
      <c r="F90" s="1121">
        <f t="shared" ref="F90:S90" si="25">+L$51</f>
        <v>0</v>
      </c>
      <c r="G90" s="1121">
        <f t="shared" si="25"/>
        <v>6.0102079727676302E-4</v>
      </c>
      <c r="H90" s="1121">
        <f t="shared" si="25"/>
        <v>5.5266169313149496E-2</v>
      </c>
      <c r="I90" s="1121">
        <f t="shared" si="25"/>
        <v>7.7619458215004659E-3</v>
      </c>
      <c r="J90" s="1121">
        <f t="shared" si="25"/>
        <v>1.6240608594085239E-2</v>
      </c>
      <c r="K90" s="1121">
        <f t="shared" si="25"/>
        <v>4.4939791076757435E-4</v>
      </c>
      <c r="L90" s="1121">
        <f t="shared" si="25"/>
        <v>5.9924728859570725E-4</v>
      </c>
      <c r="M90" s="1121">
        <f t="shared" si="25"/>
        <v>6.0570412267480507E-2</v>
      </c>
      <c r="N90" s="1121">
        <f t="shared" si="25"/>
        <v>1.0323787971615324</v>
      </c>
      <c r="O90" s="1121">
        <f t="shared" si="25"/>
        <v>0</v>
      </c>
      <c r="P90" s="1121">
        <f t="shared" si="25"/>
        <v>9.7719295943352394E-2</v>
      </c>
      <c r="Q90" s="1121">
        <f t="shared" si="25"/>
        <v>3.6306116293509466E-2</v>
      </c>
      <c r="R90" s="1121">
        <f t="shared" si="25"/>
        <v>7.5096238613796707E-3</v>
      </c>
      <c r="S90" s="1121">
        <f t="shared" si="25"/>
        <v>1.6309535777419199E-3</v>
      </c>
      <c r="T90" s="1096"/>
      <c r="U90" s="1096"/>
      <c r="V90" s="1096"/>
      <c r="W90" s="1096"/>
      <c r="X90" s="1096"/>
      <c r="Y90" s="1096"/>
      <c r="Z90" s="1096"/>
      <c r="AA90" s="1096"/>
      <c r="AB90" s="1096"/>
      <c r="AC90" s="1096"/>
      <c r="AD90" s="1096"/>
      <c r="AE90" s="1096"/>
      <c r="AF90" s="1096"/>
      <c r="AG90" s="1096"/>
      <c r="AH90" s="1096"/>
      <c r="AI90" s="1096"/>
      <c r="AJ90" s="1096"/>
      <c r="AK90" s="1096"/>
      <c r="AL90" s="1096"/>
      <c r="AM90" s="1096"/>
      <c r="AN90" s="1096"/>
      <c r="AO90" s="1096"/>
      <c r="AP90" s="1096"/>
      <c r="AQ90" s="1096"/>
      <c r="AR90" s="1096"/>
      <c r="AS90" s="1096"/>
      <c r="AT90" s="1096"/>
      <c r="AU90" s="1096"/>
      <c r="AV90" s="1096"/>
      <c r="AW90" s="1096"/>
      <c r="AX90" s="1096"/>
      <c r="AY90" s="1096"/>
      <c r="AZ90" s="1096"/>
      <c r="BA90" s="1096"/>
      <c r="BB90" s="1096"/>
      <c r="BC90" s="1096"/>
      <c r="BD90" s="1096"/>
      <c r="BE90" s="1096"/>
      <c r="BF90" s="1096"/>
      <c r="BG90" s="1096"/>
      <c r="BH90" s="1096"/>
      <c r="BI90" s="1096"/>
      <c r="BJ90" s="1096"/>
      <c r="BK90" s="1096"/>
      <c r="BL90" s="1096"/>
      <c r="BM90" s="1096"/>
      <c r="BN90" s="1096"/>
      <c r="BO90" s="1096"/>
      <c r="BP90" s="1096"/>
      <c r="BQ90" s="1096"/>
      <c r="BR90" s="1096"/>
      <c r="BS90" s="1096"/>
      <c r="BT90" s="1096"/>
      <c r="BU90" s="1096"/>
    </row>
    <row r="91" spans="1:73" x14ac:dyDescent="0.25">
      <c r="A91" s="1096"/>
      <c r="B91" s="1100" t="str">
        <f t="shared" si="24"/>
        <v>Utilities Consumption (% of baseline)</v>
      </c>
      <c r="C91" s="1100">
        <f>+ROUND(I7,3)</f>
        <v>1.05</v>
      </c>
      <c r="D91" s="1099" t="str">
        <f t="shared" si="23"/>
        <v>Utilities Consumption (% of baseline) = 105%</v>
      </c>
      <c r="E91" s="1121">
        <f t="shared" ref="E91:S92" si="26">+K61</f>
        <v>1.3182948383461572</v>
      </c>
      <c r="F91" s="1121">
        <f t="shared" si="26"/>
        <v>0</v>
      </c>
      <c r="G91" s="1121">
        <f t="shared" si="26"/>
        <v>6.0102079727676302E-4</v>
      </c>
      <c r="H91" s="1121">
        <f t="shared" si="26"/>
        <v>5.5266169313149496E-2</v>
      </c>
      <c r="I91" s="1121">
        <f t="shared" si="26"/>
        <v>7.7619458215004659E-3</v>
      </c>
      <c r="J91" s="1121">
        <f t="shared" si="26"/>
        <v>1.627361523639867E-2</v>
      </c>
      <c r="K91" s="1121">
        <f t="shared" si="26"/>
        <v>4.4939791076757435E-4</v>
      </c>
      <c r="L91" s="1121">
        <f t="shared" si="26"/>
        <v>5.9924728859570725E-4</v>
      </c>
      <c r="M91" s="1121">
        <f t="shared" si="26"/>
        <v>6.0570412267480507E-2</v>
      </c>
      <c r="N91" s="1121">
        <f t="shared" si="26"/>
        <v>1.0323787971615324</v>
      </c>
      <c r="O91" s="1121">
        <f t="shared" si="26"/>
        <v>0</v>
      </c>
      <c r="P91" s="1121">
        <f t="shared" si="26"/>
        <v>0.10013813964955169</v>
      </c>
      <c r="Q91" s="1121">
        <f t="shared" si="26"/>
        <v>3.6306116293509466E-2</v>
      </c>
      <c r="R91" s="1121">
        <f t="shared" si="26"/>
        <v>7.5210646232050614E-3</v>
      </c>
      <c r="S91" s="1121">
        <f t="shared" si="26"/>
        <v>1.6309535777419199E-3</v>
      </c>
      <c r="T91" s="1096"/>
      <c r="U91" s="1096"/>
      <c r="V91" s="1096"/>
      <c r="W91" s="1096"/>
      <c r="X91" s="1096"/>
      <c r="Y91" s="1096"/>
      <c r="Z91" s="1096"/>
      <c r="AA91" s="1096"/>
      <c r="AB91" s="1096"/>
      <c r="AC91" s="1096"/>
      <c r="AD91" s="1096"/>
      <c r="AE91" s="1096"/>
      <c r="AF91" s="1096"/>
      <c r="AG91" s="1096"/>
      <c r="AH91" s="1096"/>
      <c r="AI91" s="1096"/>
      <c r="AJ91" s="1096"/>
      <c r="AK91" s="1096"/>
      <c r="AL91" s="1096"/>
      <c r="AM91" s="1096"/>
      <c r="AN91" s="1096"/>
      <c r="AO91" s="1096"/>
      <c r="AP91" s="1096"/>
      <c r="AQ91" s="1096"/>
      <c r="AR91" s="1096"/>
      <c r="AS91" s="1096"/>
      <c r="AT91" s="1096"/>
      <c r="AU91" s="1096"/>
      <c r="AV91" s="1096"/>
      <c r="AW91" s="1096"/>
      <c r="AX91" s="1096"/>
      <c r="AY91" s="1096"/>
      <c r="AZ91" s="1096"/>
      <c r="BA91" s="1096"/>
      <c r="BB91" s="1096"/>
      <c r="BC91" s="1096"/>
      <c r="BD91" s="1096"/>
      <c r="BE91" s="1096"/>
      <c r="BF91" s="1096"/>
      <c r="BG91" s="1096"/>
      <c r="BH91" s="1096"/>
      <c r="BI91" s="1096"/>
      <c r="BJ91" s="1096"/>
      <c r="BK91" s="1096"/>
      <c r="BL91" s="1096"/>
      <c r="BM91" s="1096"/>
      <c r="BN91" s="1096"/>
      <c r="BO91" s="1096"/>
      <c r="BP91" s="1096"/>
      <c r="BQ91" s="1096"/>
      <c r="BR91" s="1096"/>
      <c r="BS91" s="1096"/>
      <c r="BT91" s="1096"/>
      <c r="BU91" s="1096"/>
    </row>
    <row r="92" spans="1:73" x14ac:dyDescent="0.25">
      <c r="A92" s="1096"/>
      <c r="B92" s="1100" t="str">
        <f>+$B$8</f>
        <v>Total Capital Investment</v>
      </c>
      <c r="C92" s="1118">
        <f ca="1">+ROUND(H8,0)</f>
        <v>177185550</v>
      </c>
      <c r="D92" s="1100" t="str">
        <f t="shared" ref="D92:D97" ca="1" si="27">+B92&amp;" = "&amp;TEXT(C92/1000,"$0,000K")</f>
        <v>Total Capital Investment = $177,186K</v>
      </c>
      <c r="E92" s="1113">
        <f t="shared" si="26"/>
        <v>1.3095838188313211</v>
      </c>
      <c r="F92" s="1113">
        <f t="shared" si="26"/>
        <v>0</v>
      </c>
      <c r="G92" s="1113">
        <f t="shared" si="26"/>
        <v>5.7096975741292497E-4</v>
      </c>
      <c r="H92" s="1113">
        <f t="shared" si="26"/>
        <v>5.2494682668557308E-2</v>
      </c>
      <c r="I92" s="1113">
        <f t="shared" si="26"/>
        <v>7.7619458215004659E-3</v>
      </c>
      <c r="J92" s="1113">
        <f t="shared" si="26"/>
        <v>1.6219773121390193E-2</v>
      </c>
      <c r="K92" s="1113">
        <f t="shared" si="26"/>
        <v>4.4939791076757435E-4</v>
      </c>
      <c r="L92" s="1113">
        <f t="shared" si="26"/>
        <v>5.691962487318692E-4</v>
      </c>
      <c r="M92" s="1113">
        <f t="shared" si="26"/>
        <v>5.9043652993958314E-2</v>
      </c>
      <c r="N92" s="1113">
        <f t="shared" si="26"/>
        <v>1.0323787971615324</v>
      </c>
      <c r="O92" s="1113">
        <f t="shared" si="26"/>
        <v>0</v>
      </c>
      <c r="P92" s="1113">
        <f t="shared" si="26"/>
        <v>9.7719295943352394E-2</v>
      </c>
      <c r="Q92" s="1113">
        <f t="shared" si="26"/>
        <v>3.4485437971219252E-2</v>
      </c>
      <c r="R92" s="1113">
        <f t="shared" si="26"/>
        <v>7.4834441941678135E-3</v>
      </c>
      <c r="S92" s="1113">
        <f t="shared" si="26"/>
        <v>1.5491645535551813E-3</v>
      </c>
      <c r="T92" s="1096"/>
      <c r="U92" s="1096"/>
      <c r="V92" s="1096"/>
      <c r="W92" s="1096"/>
      <c r="X92" s="1096"/>
      <c r="Y92" s="1096"/>
      <c r="Z92" s="1096"/>
      <c r="AA92" s="1096"/>
      <c r="AB92" s="1096"/>
      <c r="AC92" s="1096"/>
      <c r="AD92" s="1096"/>
      <c r="AE92" s="1096"/>
      <c r="AF92" s="1096"/>
      <c r="AG92" s="1096"/>
      <c r="AH92" s="1096"/>
      <c r="AI92" s="1096"/>
      <c r="AJ92" s="1096"/>
      <c r="AK92" s="1096"/>
      <c r="AL92" s="1096"/>
      <c r="AM92" s="1096"/>
      <c r="AN92" s="1096"/>
      <c r="AO92" s="1096"/>
      <c r="AP92" s="1096"/>
      <c r="AQ92" s="1096"/>
      <c r="AR92" s="1096"/>
      <c r="AS92" s="1096"/>
      <c r="AT92" s="1096"/>
      <c r="AU92" s="1096"/>
      <c r="AV92" s="1096"/>
      <c r="AW92" s="1096"/>
      <c r="AX92" s="1096"/>
      <c r="AY92" s="1096"/>
      <c r="AZ92" s="1096"/>
      <c r="BA92" s="1096"/>
      <c r="BB92" s="1096"/>
      <c r="BC92" s="1096"/>
      <c r="BD92" s="1096"/>
      <c r="BE92" s="1096"/>
      <c r="BF92" s="1096"/>
      <c r="BG92" s="1096"/>
      <c r="BH92" s="1096"/>
      <c r="BI92" s="1096"/>
      <c r="BJ92" s="1096"/>
      <c r="BK92" s="1096"/>
      <c r="BL92" s="1096"/>
      <c r="BM92" s="1096"/>
      <c r="BN92" s="1096"/>
      <c r="BO92" s="1096"/>
      <c r="BP92" s="1096"/>
      <c r="BQ92" s="1096"/>
      <c r="BR92" s="1096"/>
      <c r="BS92" s="1096"/>
      <c r="BT92" s="1096"/>
      <c r="BU92" s="1096"/>
    </row>
    <row r="93" spans="1:73" x14ac:dyDescent="0.25">
      <c r="A93" s="1096"/>
      <c r="B93" s="1100" t="str">
        <f t="shared" ref="B93:B94" si="28">+$B$8</f>
        <v>Total Capital Investment</v>
      </c>
      <c r="C93" s="1118">
        <f ca="1">+ROUND(C8,0)</f>
        <v>186511105</v>
      </c>
      <c r="D93" s="1100" t="str">
        <f t="shared" ca="1" si="27"/>
        <v>Total Capital Investment = $186,511K</v>
      </c>
      <c r="E93" s="1113">
        <f t="shared" ref="E93:S93" si="29">+K$51</f>
        <v>1.3158315472358189</v>
      </c>
      <c r="F93" s="1113">
        <f t="shared" si="29"/>
        <v>0</v>
      </c>
      <c r="G93" s="1113">
        <f t="shared" si="29"/>
        <v>6.0102079727676302E-4</v>
      </c>
      <c r="H93" s="1113">
        <f t="shared" si="29"/>
        <v>5.5266169313149496E-2</v>
      </c>
      <c r="I93" s="1113">
        <f t="shared" si="29"/>
        <v>7.7619458215004659E-3</v>
      </c>
      <c r="J93" s="1113">
        <f t="shared" si="29"/>
        <v>1.6240608594085239E-2</v>
      </c>
      <c r="K93" s="1113">
        <f t="shared" si="29"/>
        <v>4.4939791076757435E-4</v>
      </c>
      <c r="L93" s="1113">
        <f t="shared" si="29"/>
        <v>5.9924728859570725E-4</v>
      </c>
      <c r="M93" s="1113">
        <f t="shared" si="29"/>
        <v>6.0570412267480507E-2</v>
      </c>
      <c r="N93" s="1113">
        <f t="shared" si="29"/>
        <v>1.0323787971615324</v>
      </c>
      <c r="O93" s="1113">
        <f t="shared" si="29"/>
        <v>0</v>
      </c>
      <c r="P93" s="1113">
        <f t="shared" si="29"/>
        <v>9.7719295943352394E-2</v>
      </c>
      <c r="Q93" s="1113">
        <f t="shared" si="29"/>
        <v>3.6306116293509466E-2</v>
      </c>
      <c r="R93" s="1113">
        <f t="shared" si="29"/>
        <v>7.5096238613796707E-3</v>
      </c>
      <c r="S93" s="1113">
        <f t="shared" si="29"/>
        <v>1.6309535777419199E-3</v>
      </c>
      <c r="T93" s="1096"/>
      <c r="U93" s="1096"/>
      <c r="V93" s="1096"/>
      <c r="W93" s="1096"/>
      <c r="X93" s="1096"/>
      <c r="Y93" s="1096"/>
      <c r="Z93" s="1096"/>
      <c r="AA93" s="1096"/>
      <c r="AB93" s="1096"/>
      <c r="AC93" s="1096"/>
      <c r="AD93" s="1096"/>
      <c r="AE93" s="1096"/>
      <c r="AF93" s="1096"/>
      <c r="AG93" s="1096"/>
      <c r="AH93" s="1096"/>
      <c r="AI93" s="1096"/>
      <c r="AJ93" s="1096"/>
      <c r="AK93" s="1096"/>
      <c r="AL93" s="1096"/>
      <c r="AM93" s="1096"/>
      <c r="AN93" s="1096"/>
      <c r="AO93" s="1096"/>
      <c r="AP93" s="1096"/>
      <c r="AQ93" s="1096"/>
      <c r="AR93" s="1096"/>
      <c r="AS93" s="1096"/>
      <c r="AT93" s="1096"/>
      <c r="AU93" s="1096"/>
      <c r="AV93" s="1096"/>
      <c r="AW93" s="1096"/>
      <c r="AX93" s="1096"/>
      <c r="AY93" s="1096"/>
      <c r="AZ93" s="1096"/>
      <c r="BA93" s="1096"/>
      <c r="BB93" s="1096"/>
      <c r="BC93" s="1096"/>
      <c r="BD93" s="1096"/>
      <c r="BE93" s="1096"/>
      <c r="BF93" s="1096"/>
      <c r="BG93" s="1096"/>
      <c r="BH93" s="1096"/>
      <c r="BI93" s="1096"/>
      <c r="BJ93" s="1096"/>
      <c r="BK93" s="1096"/>
      <c r="BL93" s="1096"/>
      <c r="BM93" s="1096"/>
      <c r="BN93" s="1096"/>
      <c r="BO93" s="1096"/>
      <c r="BP93" s="1096"/>
      <c r="BQ93" s="1096"/>
      <c r="BR93" s="1096"/>
      <c r="BS93" s="1096"/>
      <c r="BT93" s="1096"/>
      <c r="BU93" s="1096"/>
    </row>
    <row r="94" spans="1:73" x14ac:dyDescent="0.25">
      <c r="A94" s="1096"/>
      <c r="B94" s="1100" t="str">
        <f t="shared" si="28"/>
        <v>Total Capital Investment</v>
      </c>
      <c r="C94" s="1118">
        <f ca="1">+ROUND(I8,0)</f>
        <v>195836660</v>
      </c>
      <c r="D94" s="1100" t="str">
        <f t="shared" ca="1" si="27"/>
        <v>Total Capital Investment = $195,837K</v>
      </c>
      <c r="E94" s="1113">
        <f t="shared" ref="E94:S95" si="30">+K63</f>
        <v>1.322079275640317</v>
      </c>
      <c r="F94" s="1113">
        <f t="shared" si="30"/>
        <v>0</v>
      </c>
      <c r="G94" s="1113">
        <f t="shared" si="30"/>
        <v>6.3107183714060096E-4</v>
      </c>
      <c r="H94" s="1113">
        <f t="shared" si="30"/>
        <v>5.8037655957741678E-2</v>
      </c>
      <c r="I94" s="1113">
        <f t="shared" si="30"/>
        <v>7.7619458215004659E-3</v>
      </c>
      <c r="J94" s="1113">
        <f t="shared" si="30"/>
        <v>1.626144406678029E-2</v>
      </c>
      <c r="K94" s="1113">
        <f t="shared" si="30"/>
        <v>4.4939791076757435E-4</v>
      </c>
      <c r="L94" s="1113">
        <f t="shared" si="30"/>
        <v>6.2929832845954518E-4</v>
      </c>
      <c r="M94" s="1113">
        <f t="shared" si="30"/>
        <v>6.2097171541002687E-2</v>
      </c>
      <c r="N94" s="1113">
        <f t="shared" si="30"/>
        <v>1.0323787971615324</v>
      </c>
      <c r="O94" s="1113">
        <f t="shared" si="30"/>
        <v>0</v>
      </c>
      <c r="P94" s="1113">
        <f t="shared" si="30"/>
        <v>9.7719295943352394E-2</v>
      </c>
      <c r="Q94" s="1113">
        <f t="shared" si="30"/>
        <v>3.8126794615799674E-2</v>
      </c>
      <c r="R94" s="1113">
        <f t="shared" si="30"/>
        <v>7.5358035285915878E-3</v>
      </c>
      <c r="S94" s="1113">
        <f t="shared" si="30"/>
        <v>1.7127426019286583E-3</v>
      </c>
      <c r="T94" s="1096"/>
      <c r="U94" s="1096"/>
      <c r="V94" s="1096"/>
      <c r="W94" s="1096"/>
      <c r="X94" s="1096"/>
      <c r="Y94" s="1096"/>
      <c r="Z94" s="1096"/>
      <c r="AA94" s="1096"/>
      <c r="AB94" s="1096"/>
      <c r="AC94" s="1096"/>
      <c r="AD94" s="1096"/>
      <c r="AE94" s="1096"/>
      <c r="AF94" s="1096"/>
      <c r="AG94" s="1096"/>
      <c r="AH94" s="1096"/>
      <c r="AI94" s="1096"/>
      <c r="AJ94" s="1096"/>
      <c r="AK94" s="1096"/>
      <c r="AL94" s="1096"/>
      <c r="AM94" s="1096"/>
      <c r="AN94" s="1096"/>
      <c r="AO94" s="1096"/>
      <c r="AP94" s="1096"/>
      <c r="AQ94" s="1096"/>
      <c r="AR94" s="1096"/>
      <c r="AS94" s="1096"/>
      <c r="AT94" s="1096"/>
      <c r="AU94" s="1096"/>
      <c r="AV94" s="1096"/>
      <c r="AW94" s="1096"/>
      <c r="AX94" s="1096"/>
      <c r="AY94" s="1096"/>
      <c r="AZ94" s="1096"/>
      <c r="BA94" s="1096"/>
      <c r="BB94" s="1096"/>
      <c r="BC94" s="1096"/>
      <c r="BD94" s="1096"/>
      <c r="BE94" s="1096"/>
      <c r="BF94" s="1096"/>
      <c r="BG94" s="1096"/>
      <c r="BH94" s="1096"/>
      <c r="BI94" s="1096"/>
      <c r="BJ94" s="1096"/>
      <c r="BK94" s="1096"/>
      <c r="BL94" s="1096"/>
      <c r="BM94" s="1096"/>
      <c r="BN94" s="1096"/>
      <c r="BO94" s="1096"/>
      <c r="BP94" s="1096"/>
      <c r="BQ94" s="1096"/>
      <c r="BR94" s="1096"/>
      <c r="BS94" s="1096"/>
      <c r="BT94" s="1096"/>
      <c r="BU94" s="1096"/>
    </row>
    <row r="95" spans="1:73" x14ac:dyDescent="0.25">
      <c r="A95" s="1096"/>
      <c r="B95" s="1100" t="str">
        <f>+$B$9</f>
        <v>Total Fixed Operating Cost</v>
      </c>
      <c r="C95" s="1118">
        <f ca="1">+ROUND(H9,0)</f>
        <v>7029400</v>
      </c>
      <c r="D95" s="1100" t="str">
        <f t="shared" ca="1" si="27"/>
        <v>Total Fixed Operating Cost = $7,029K</v>
      </c>
      <c r="E95" s="1113">
        <f t="shared" si="30"/>
        <v>1.3127473710850819</v>
      </c>
      <c r="F95" s="1113">
        <f t="shared" si="30"/>
        <v>0</v>
      </c>
      <c r="G95" s="1113">
        <f t="shared" si="30"/>
        <v>6.0102079727676302E-4</v>
      </c>
      <c r="H95" s="1113">
        <f t="shared" si="30"/>
        <v>5.5266169313149496E-2</v>
      </c>
      <c r="I95" s="1113">
        <f t="shared" si="30"/>
        <v>7.7619458215004659E-3</v>
      </c>
      <c r="J95" s="1113">
        <f t="shared" si="30"/>
        <v>1.6199278792039386E-2</v>
      </c>
      <c r="K95" s="1113">
        <f t="shared" si="30"/>
        <v>4.4939791076757435E-4</v>
      </c>
      <c r="L95" s="1113">
        <f t="shared" si="30"/>
        <v>5.9924728859570725E-4</v>
      </c>
      <c r="M95" s="1113">
        <f t="shared" si="30"/>
        <v>5.7541891654106489E-2</v>
      </c>
      <c r="N95" s="1113">
        <f t="shared" si="30"/>
        <v>1.0323787971615324</v>
      </c>
      <c r="O95" s="1113">
        <f t="shared" si="30"/>
        <v>0</v>
      </c>
      <c r="P95" s="1113">
        <f t="shared" si="30"/>
        <v>9.7719295943352394E-2</v>
      </c>
      <c r="Q95" s="1113">
        <f t="shared" si="30"/>
        <v>3.6306116293509466E-2</v>
      </c>
      <c r="R95" s="1113">
        <f t="shared" si="30"/>
        <v>7.4952981260624236E-3</v>
      </c>
      <c r="S95" s="1113">
        <f t="shared" si="30"/>
        <v>1.6309535777419199E-3</v>
      </c>
      <c r="T95" s="1096"/>
      <c r="U95" s="1096"/>
      <c r="V95" s="1096"/>
      <c r="W95" s="1096"/>
      <c r="X95" s="1096"/>
      <c r="Y95" s="1096"/>
      <c r="Z95" s="1096"/>
      <c r="AA95" s="1096"/>
      <c r="AB95" s="1096"/>
      <c r="AC95" s="1096"/>
      <c r="AD95" s="1096"/>
      <c r="AE95" s="1096"/>
      <c r="AF95" s="1096"/>
      <c r="AG95" s="1096"/>
      <c r="AH95" s="1096"/>
      <c r="AI95" s="1096"/>
      <c r="AJ95" s="1096"/>
      <c r="AK95" s="1096"/>
      <c r="AL95" s="1096"/>
      <c r="AM95" s="1096"/>
      <c r="AN95" s="1096"/>
      <c r="AO95" s="1096"/>
      <c r="AP95" s="1096"/>
      <c r="AQ95" s="1096"/>
      <c r="AR95" s="1096"/>
      <c r="AS95" s="1096"/>
      <c r="AT95" s="1096"/>
      <c r="AU95" s="1096"/>
      <c r="AV95" s="1096"/>
      <c r="AW95" s="1096"/>
      <c r="AX95" s="1096"/>
      <c r="AY95" s="1096"/>
      <c r="AZ95" s="1096"/>
      <c r="BA95" s="1096"/>
      <c r="BB95" s="1096"/>
      <c r="BC95" s="1096"/>
      <c r="BD95" s="1096"/>
      <c r="BE95" s="1096"/>
      <c r="BF95" s="1096"/>
      <c r="BG95" s="1096"/>
      <c r="BH95" s="1096"/>
      <c r="BI95" s="1096"/>
      <c r="BJ95" s="1096"/>
      <c r="BK95" s="1096"/>
      <c r="BL95" s="1096"/>
      <c r="BM95" s="1096"/>
      <c r="BN95" s="1096"/>
      <c r="BO95" s="1096"/>
      <c r="BP95" s="1096"/>
      <c r="BQ95" s="1096"/>
      <c r="BR95" s="1096"/>
      <c r="BS95" s="1096"/>
      <c r="BT95" s="1096"/>
      <c r="BU95" s="1096"/>
    </row>
    <row r="96" spans="1:73" x14ac:dyDescent="0.25">
      <c r="A96" s="1096"/>
      <c r="B96" s="1100" t="str">
        <f t="shared" ref="B96:B97" si="31">+$B$9</f>
        <v>Total Fixed Operating Cost</v>
      </c>
      <c r="C96" s="1118">
        <f ca="1">+ROUND(C9,0)</f>
        <v>7399369</v>
      </c>
      <c r="D96" s="1100" t="str">
        <f t="shared" ca="1" si="27"/>
        <v>Total Fixed Operating Cost = $7,399K</v>
      </c>
      <c r="E96" s="1113">
        <f t="shared" ref="E96:S96" si="32">+K$51</f>
        <v>1.3158315472358189</v>
      </c>
      <c r="F96" s="1113">
        <f t="shared" si="32"/>
        <v>0</v>
      </c>
      <c r="G96" s="1113">
        <f t="shared" si="32"/>
        <v>6.0102079727676302E-4</v>
      </c>
      <c r="H96" s="1113">
        <f t="shared" si="32"/>
        <v>5.5266169313149496E-2</v>
      </c>
      <c r="I96" s="1113">
        <f t="shared" si="32"/>
        <v>7.7619458215004659E-3</v>
      </c>
      <c r="J96" s="1113">
        <f t="shared" si="32"/>
        <v>1.6240608594085239E-2</v>
      </c>
      <c r="K96" s="1113">
        <f t="shared" si="32"/>
        <v>4.4939791076757435E-4</v>
      </c>
      <c r="L96" s="1113">
        <f t="shared" si="32"/>
        <v>5.9924728859570725E-4</v>
      </c>
      <c r="M96" s="1113">
        <f t="shared" si="32"/>
        <v>6.0570412267480507E-2</v>
      </c>
      <c r="N96" s="1113">
        <f t="shared" si="32"/>
        <v>1.0323787971615324</v>
      </c>
      <c r="O96" s="1113">
        <f t="shared" si="32"/>
        <v>0</v>
      </c>
      <c r="P96" s="1113">
        <f t="shared" si="32"/>
        <v>9.7719295943352394E-2</v>
      </c>
      <c r="Q96" s="1113">
        <f t="shared" si="32"/>
        <v>3.6306116293509466E-2</v>
      </c>
      <c r="R96" s="1113">
        <f t="shared" si="32"/>
        <v>7.5096238613796707E-3</v>
      </c>
      <c r="S96" s="1113">
        <f t="shared" si="32"/>
        <v>1.6309535777419199E-3</v>
      </c>
      <c r="T96" s="1096"/>
      <c r="U96" s="1096"/>
      <c r="V96" s="1096"/>
      <c r="W96" s="1096"/>
      <c r="X96" s="1096"/>
      <c r="Y96" s="1096"/>
      <c r="Z96" s="1096"/>
      <c r="AA96" s="1096"/>
      <c r="AB96" s="1096"/>
      <c r="AC96" s="1096"/>
      <c r="AD96" s="1096"/>
      <c r="AE96" s="1096"/>
      <c r="AF96" s="1096"/>
      <c r="AG96" s="1096"/>
      <c r="AH96" s="1096"/>
      <c r="AI96" s="1096"/>
      <c r="AJ96" s="1096"/>
      <c r="AK96" s="1096"/>
      <c r="AL96" s="1096"/>
      <c r="AM96" s="1096"/>
      <c r="AN96" s="1096"/>
      <c r="AO96" s="1096"/>
      <c r="AP96" s="1096"/>
      <c r="AQ96" s="1096"/>
      <c r="AR96" s="1096"/>
      <c r="AS96" s="1096"/>
      <c r="AT96" s="1096"/>
      <c r="AU96" s="1096"/>
      <c r="AV96" s="1096"/>
      <c r="AW96" s="1096"/>
      <c r="AX96" s="1096"/>
      <c r="AY96" s="1096"/>
      <c r="AZ96" s="1096"/>
      <c r="BA96" s="1096"/>
      <c r="BB96" s="1096"/>
      <c r="BC96" s="1096"/>
      <c r="BD96" s="1096"/>
      <c r="BE96" s="1096"/>
      <c r="BF96" s="1096"/>
      <c r="BG96" s="1096"/>
      <c r="BH96" s="1096"/>
      <c r="BI96" s="1096"/>
      <c r="BJ96" s="1096"/>
      <c r="BK96" s="1096"/>
      <c r="BL96" s="1096"/>
      <c r="BM96" s="1096"/>
      <c r="BN96" s="1096"/>
      <c r="BO96" s="1096"/>
      <c r="BP96" s="1096"/>
      <c r="BQ96" s="1096"/>
      <c r="BR96" s="1096"/>
      <c r="BS96" s="1096"/>
      <c r="BT96" s="1096"/>
      <c r="BU96" s="1096"/>
    </row>
    <row r="97" spans="1:73" x14ac:dyDescent="0.25">
      <c r="A97" s="1096"/>
      <c r="B97" s="1100" t="str">
        <f t="shared" si="31"/>
        <v>Total Fixed Operating Cost</v>
      </c>
      <c r="C97" s="1118">
        <f ca="1">+ROUND(I9,0)</f>
        <v>7769337</v>
      </c>
      <c r="D97" s="1100" t="str">
        <f t="shared" ca="1" si="27"/>
        <v>Total Fixed Operating Cost = $7,769K</v>
      </c>
      <c r="E97" s="1113">
        <f t="shared" ref="E97:S97" si="33">+K65</f>
        <v>1.3189157233865563</v>
      </c>
      <c r="F97" s="1113">
        <f t="shared" si="33"/>
        <v>0</v>
      </c>
      <c r="G97" s="1113">
        <f t="shared" si="33"/>
        <v>6.0102079727676302E-4</v>
      </c>
      <c r="H97" s="1113">
        <f t="shared" si="33"/>
        <v>5.5266169313149496E-2</v>
      </c>
      <c r="I97" s="1113">
        <f t="shared" si="33"/>
        <v>7.7619458215004659E-3</v>
      </c>
      <c r="J97" s="1113">
        <f t="shared" si="33"/>
        <v>1.6281938396131103E-2</v>
      </c>
      <c r="K97" s="1113">
        <f t="shared" si="33"/>
        <v>4.4939791076757435E-4</v>
      </c>
      <c r="L97" s="1113">
        <f t="shared" si="33"/>
        <v>5.9924728859570725E-4</v>
      </c>
      <c r="M97" s="1113">
        <f t="shared" si="33"/>
        <v>6.3598932880854525E-2</v>
      </c>
      <c r="N97" s="1113">
        <f t="shared" si="33"/>
        <v>1.0323787971615324</v>
      </c>
      <c r="O97" s="1113">
        <f t="shared" si="33"/>
        <v>0</v>
      </c>
      <c r="P97" s="1113">
        <f t="shared" si="33"/>
        <v>9.7719295943352394E-2</v>
      </c>
      <c r="Q97" s="1113">
        <f t="shared" si="33"/>
        <v>3.6306116293509466E-2</v>
      </c>
      <c r="R97" s="1113">
        <f t="shared" si="33"/>
        <v>7.5239495966969681E-3</v>
      </c>
      <c r="S97" s="1113">
        <f t="shared" si="33"/>
        <v>1.6309535777419199E-3</v>
      </c>
      <c r="T97" s="1096"/>
      <c r="U97" s="1096"/>
      <c r="V97" s="1096"/>
      <c r="W97" s="1096"/>
      <c r="X97" s="1096"/>
      <c r="Y97" s="1096"/>
      <c r="Z97" s="1096"/>
      <c r="AA97" s="1096"/>
      <c r="AB97" s="1096"/>
      <c r="AC97" s="1096"/>
      <c r="AD97" s="1096"/>
      <c r="AE97" s="1096"/>
      <c r="AF97" s="1096"/>
      <c r="AG97" s="1096"/>
      <c r="AH97" s="1096"/>
      <c r="AI97" s="1096"/>
      <c r="AJ97" s="1096"/>
      <c r="AK97" s="1096"/>
      <c r="AL97" s="1096"/>
      <c r="AM97" s="1096"/>
      <c r="AN97" s="1096"/>
      <c r="AO97" s="1096"/>
      <c r="AP97" s="1096"/>
      <c r="AQ97" s="1096"/>
      <c r="AR97" s="1096"/>
      <c r="AS97" s="1096"/>
      <c r="AT97" s="1096"/>
      <c r="AU97" s="1096"/>
      <c r="AV97" s="1096"/>
      <c r="AW97" s="1096"/>
      <c r="AX97" s="1096"/>
      <c r="AY97" s="1096"/>
      <c r="AZ97" s="1096"/>
      <c r="BA97" s="1096"/>
      <c r="BB97" s="1096"/>
      <c r="BC97" s="1096"/>
      <c r="BD97" s="1096"/>
      <c r="BE97" s="1096"/>
      <c r="BF97" s="1096"/>
      <c r="BG97" s="1096"/>
      <c r="BH97" s="1096"/>
      <c r="BI97" s="1096"/>
      <c r="BJ97" s="1096"/>
      <c r="BK97" s="1096"/>
      <c r="BL97" s="1096"/>
      <c r="BM97" s="1096"/>
      <c r="BN97" s="1096"/>
      <c r="BO97" s="1096"/>
      <c r="BP97" s="1096"/>
      <c r="BQ97" s="1096"/>
      <c r="BR97" s="1096"/>
      <c r="BS97" s="1096"/>
      <c r="BT97" s="1096"/>
      <c r="BU97" s="1096"/>
    </row>
    <row r="98" spans="1:73" x14ac:dyDescent="0.25">
      <c r="A98" s="1096"/>
      <c r="B98" s="1096"/>
      <c r="C98" s="1096"/>
      <c r="D98" s="1096"/>
      <c r="E98" s="1096"/>
      <c r="F98" s="1096"/>
      <c r="G98" s="1096"/>
      <c r="H98" s="1096"/>
      <c r="I98" s="1096"/>
      <c r="J98" s="1096"/>
      <c r="K98" s="1096"/>
      <c r="L98" s="1096"/>
      <c r="M98" s="1096"/>
      <c r="N98" s="1096"/>
      <c r="O98" s="1096"/>
      <c r="P98" s="1096"/>
      <c r="Q98" s="1096"/>
      <c r="R98" s="1096"/>
      <c r="S98" s="1096"/>
      <c r="T98" s="1096"/>
      <c r="U98" s="1096"/>
      <c r="V98" s="1096"/>
      <c r="W98" s="1096"/>
      <c r="X98" s="1096"/>
      <c r="Y98" s="1096"/>
      <c r="Z98" s="1096"/>
      <c r="AA98" s="1096"/>
      <c r="AB98" s="1096"/>
      <c r="AC98" s="1096"/>
      <c r="AD98" s="1096"/>
      <c r="AE98" s="1096"/>
      <c r="AF98" s="1096"/>
      <c r="AG98" s="1096"/>
      <c r="AH98" s="1096"/>
      <c r="AI98" s="1096"/>
      <c r="AJ98" s="1096"/>
      <c r="AK98" s="1096"/>
      <c r="AL98" s="1096"/>
      <c r="AM98" s="1096"/>
      <c r="AN98" s="1096"/>
      <c r="AO98" s="1096"/>
      <c r="AP98" s="1096"/>
      <c r="AQ98" s="1096"/>
      <c r="AR98" s="1096"/>
      <c r="AS98" s="1096"/>
      <c r="AT98" s="1096"/>
      <c r="AU98" s="1096"/>
      <c r="AV98" s="1096"/>
      <c r="AW98" s="1096"/>
      <c r="AX98" s="1096"/>
      <c r="AY98" s="1096"/>
      <c r="AZ98" s="1096"/>
      <c r="BA98" s="1096"/>
      <c r="BB98" s="1096"/>
      <c r="BC98" s="1096"/>
      <c r="BD98" s="1096"/>
      <c r="BE98" s="1096"/>
      <c r="BF98" s="1096"/>
      <c r="BG98" s="1096"/>
      <c r="BH98" s="1096"/>
      <c r="BI98" s="1096"/>
      <c r="BJ98" s="1096"/>
      <c r="BK98" s="1096"/>
      <c r="BL98" s="1096"/>
      <c r="BM98" s="1096"/>
      <c r="BN98" s="1096"/>
      <c r="BO98" s="1096"/>
      <c r="BP98" s="1096"/>
      <c r="BQ98" s="1096"/>
      <c r="BR98" s="1096"/>
      <c r="BS98" s="1096"/>
      <c r="BT98" s="1096"/>
      <c r="BU98" s="1096"/>
    </row>
    <row r="99" spans="1:73" x14ac:dyDescent="0.25">
      <c r="A99" s="1096"/>
      <c r="B99" s="1096"/>
      <c r="C99" s="1096"/>
      <c r="D99" s="1096"/>
      <c r="E99" s="1096"/>
      <c r="F99" s="1096"/>
      <c r="G99" s="1096"/>
      <c r="H99" s="1096"/>
      <c r="I99" s="1096"/>
      <c r="J99" s="1096"/>
      <c r="K99" s="1096"/>
      <c r="L99" s="1096"/>
      <c r="M99" s="1096"/>
      <c r="N99" s="1096"/>
      <c r="O99" s="1096"/>
      <c r="P99" s="1096"/>
      <c r="Q99" s="1096"/>
      <c r="R99" s="1096"/>
      <c r="S99" s="1096"/>
      <c r="T99" s="1096"/>
      <c r="U99" s="1096"/>
      <c r="V99" s="1096"/>
      <c r="W99" s="1096"/>
      <c r="X99" s="1096"/>
      <c r="Y99" s="1096"/>
      <c r="Z99" s="1096"/>
      <c r="AA99" s="1096"/>
      <c r="AB99" s="1096"/>
      <c r="AC99" s="1096"/>
      <c r="AD99" s="1096"/>
      <c r="AE99" s="1096"/>
      <c r="AF99" s="1096"/>
      <c r="AG99" s="1096"/>
      <c r="AH99" s="1096"/>
      <c r="AI99" s="1096"/>
      <c r="AJ99" s="1096"/>
      <c r="AK99" s="1096"/>
      <c r="AL99" s="1096"/>
      <c r="AM99" s="1096"/>
      <c r="AN99" s="1096"/>
      <c r="AO99" s="1096"/>
      <c r="AP99" s="1096"/>
      <c r="AQ99" s="1096"/>
      <c r="AR99" s="1096"/>
      <c r="AS99" s="1096"/>
      <c r="AT99" s="1096"/>
      <c r="AU99" s="1096"/>
      <c r="AV99" s="1096"/>
      <c r="AW99" s="1096"/>
      <c r="AX99" s="1096"/>
      <c r="AY99" s="1096"/>
      <c r="AZ99" s="1096"/>
      <c r="BA99" s="1096"/>
      <c r="BB99" s="1096"/>
      <c r="BC99" s="1096"/>
      <c r="BD99" s="1096"/>
      <c r="BE99" s="1096"/>
      <c r="BF99" s="1096"/>
      <c r="BG99" s="1096"/>
      <c r="BH99" s="1096"/>
      <c r="BI99" s="1096"/>
      <c r="BJ99" s="1096"/>
      <c r="BK99" s="1096"/>
      <c r="BL99" s="1096"/>
      <c r="BM99" s="1096"/>
      <c r="BN99" s="1096"/>
      <c r="BO99" s="1096"/>
      <c r="BP99" s="1096"/>
      <c r="BQ99" s="1096"/>
      <c r="BR99" s="1096"/>
      <c r="BS99" s="1096"/>
      <c r="BT99" s="1096"/>
      <c r="BU99" s="1096"/>
    </row>
    <row r="100" spans="1:73" ht="26" x14ac:dyDescent="0.3">
      <c r="A100" s="1096"/>
      <c r="B100" s="1098" t="s">
        <v>1149</v>
      </c>
      <c r="C100" s="1119" t="s">
        <v>1148</v>
      </c>
      <c r="D100" s="1" t="s">
        <v>1158</v>
      </c>
      <c r="E100" s="1098" t="s">
        <v>1154</v>
      </c>
      <c r="F100" s="1098" t="s">
        <v>1155</v>
      </c>
      <c r="G100" s="1098" t="s">
        <v>1156</v>
      </c>
      <c r="H100" s="1098" t="s">
        <v>1150</v>
      </c>
      <c r="I100" s="1098" t="s">
        <v>1151</v>
      </c>
      <c r="J100" s="1098" t="s">
        <v>1152</v>
      </c>
      <c r="K100" s="1096"/>
      <c r="L100" s="1098" t="s">
        <v>1157</v>
      </c>
      <c r="M100" s="1107" t="s">
        <v>1160</v>
      </c>
      <c r="N100" s="1107" t="s">
        <v>1143</v>
      </c>
      <c r="O100" s="1096"/>
      <c r="P100" s="1096"/>
      <c r="Q100" s="1096"/>
      <c r="R100" s="1096"/>
      <c r="S100" s="1096"/>
      <c r="T100" s="1096"/>
      <c r="U100" s="1096"/>
      <c r="V100" s="1096"/>
      <c r="W100" s="1096"/>
      <c r="X100" s="1096"/>
      <c r="Y100" s="1096"/>
      <c r="Z100" s="1096"/>
      <c r="AA100" s="1096"/>
      <c r="AB100" s="1096"/>
      <c r="AC100" s="1096"/>
      <c r="AD100" s="1096"/>
      <c r="AE100" s="1096"/>
      <c r="AF100" s="1096"/>
      <c r="AG100" s="1096"/>
      <c r="AH100" s="1096"/>
      <c r="AI100" s="1096"/>
      <c r="AJ100" s="1096"/>
      <c r="AK100" s="1096"/>
      <c r="AL100" s="1096"/>
      <c r="AM100" s="1096"/>
      <c r="AN100" s="1096"/>
      <c r="AO100" s="1096"/>
      <c r="AP100" s="1096"/>
      <c r="AQ100" s="1096"/>
      <c r="AR100" s="1096"/>
      <c r="AS100" s="1096"/>
      <c r="AT100" s="1096"/>
      <c r="AU100" s="1096"/>
      <c r="AV100" s="1096"/>
      <c r="AW100" s="1096"/>
      <c r="AX100" s="1096"/>
      <c r="AY100" s="1096"/>
      <c r="AZ100" s="1096"/>
      <c r="BA100" s="1096"/>
      <c r="BB100" s="1096"/>
      <c r="BC100" s="1096"/>
      <c r="BD100" s="1096"/>
      <c r="BE100" s="1096"/>
      <c r="BF100" s="1096"/>
      <c r="BG100" s="1096"/>
      <c r="BH100" s="1096"/>
      <c r="BI100" s="1096"/>
      <c r="BJ100" s="1096"/>
      <c r="BK100" s="1096"/>
      <c r="BL100" s="1096"/>
      <c r="BM100" s="1096"/>
      <c r="BN100" s="1096"/>
      <c r="BO100" s="1096"/>
      <c r="BP100" s="1096"/>
      <c r="BQ100" s="1096"/>
      <c r="BR100" s="1096"/>
      <c r="BS100" s="1096"/>
      <c r="BT100" s="1096"/>
      <c r="BU100" s="1096"/>
    </row>
    <row r="101" spans="1:73" ht="13" x14ac:dyDescent="0.3">
      <c r="A101" s="1096"/>
      <c r="B101" s="1096"/>
      <c r="C101" s="1120">
        <v>1</v>
      </c>
      <c r="D101" s="1100" t="str">
        <f t="shared" ref="D101:D107" ca="1" si="34">OFFSET(L$100,MATCH($C101,$N$101:$N$107,0),0)</f>
        <v>Feedstock Consumption (% of baseline)
(95%, 100%, 105%)</v>
      </c>
      <c r="E101" s="1195">
        <f t="shared" ref="E101:E107" ca="1" si="35">OFFSET(E$76,MATCH($C101,$N$101:$N$107,0)*3-2,0)</f>
        <v>1.2632645525367054</v>
      </c>
      <c r="F101" s="1195">
        <f t="shared" ref="F101:F107" si="36">+$K$51</f>
        <v>1.3158315472358189</v>
      </c>
      <c r="G101" s="1195">
        <f t="shared" ref="G101:G107" ca="1" si="37">OFFSET(E$76,MATCH($C101,$N$101:$N$107,0)*3,0)</f>
        <v>1.3683985419349336</v>
      </c>
      <c r="H101" s="1100">
        <f ca="1">+E101</f>
        <v>1.2632645525367054</v>
      </c>
      <c r="I101" s="1100">
        <f ca="1">+F101-E101</f>
        <v>5.2566994699113412E-2</v>
      </c>
      <c r="J101" s="1100">
        <f ca="1">+G101-F101</f>
        <v>5.2566994699114744E-2</v>
      </c>
      <c r="K101" s="1096"/>
      <c r="L101" s="1100" t="str">
        <f ca="1">+B3&amp;"
("&amp;TEXT(H3,"0%, ")&amp;TEXT(C3,"0%, ")&amp;TEXT(I3,"0%)")</f>
        <v>Operating Capacity Factor
(95%, 90%, 86%)</v>
      </c>
      <c r="M101" s="1110">
        <f>ABS(K52-K53)+0.000000001</f>
        <v>1.9069170614252867E-2</v>
      </c>
      <c r="N101" s="1100">
        <f t="shared" ref="N101:N107" si="38">+RANK(M101,$M$101:$M$107)</f>
        <v>2</v>
      </c>
      <c r="O101" s="1107"/>
      <c r="P101" s="1096"/>
      <c r="Q101" s="1096"/>
      <c r="R101" s="1096"/>
      <c r="S101" s="1096"/>
      <c r="T101" s="1096"/>
      <c r="U101" s="1096"/>
      <c r="V101" s="1096"/>
      <c r="W101" s="1096"/>
      <c r="X101" s="1096"/>
      <c r="Y101" s="1096"/>
      <c r="Z101" s="1096"/>
      <c r="AA101" s="1096"/>
      <c r="AB101" s="1096"/>
      <c r="AC101" s="1096"/>
      <c r="AD101" s="1096"/>
      <c r="AE101" s="1096"/>
      <c r="AF101" s="1096"/>
      <c r="AG101" s="1096"/>
      <c r="AH101" s="1096"/>
      <c r="AI101" s="1096"/>
      <c r="AJ101" s="1096"/>
      <c r="AK101" s="1096"/>
      <c r="AL101" s="1096"/>
      <c r="AM101" s="1096"/>
      <c r="AN101" s="1096"/>
      <c r="AO101" s="1096"/>
      <c r="AP101" s="1096"/>
      <c r="AQ101" s="1096"/>
      <c r="AR101" s="1096"/>
      <c r="AS101" s="1096"/>
      <c r="AT101" s="1096"/>
      <c r="AU101" s="1096"/>
      <c r="AV101" s="1096"/>
      <c r="AW101" s="1096"/>
      <c r="AX101" s="1096"/>
      <c r="AY101" s="1096"/>
      <c r="AZ101" s="1096"/>
      <c r="BA101" s="1096"/>
      <c r="BB101" s="1096"/>
      <c r="BC101" s="1096"/>
      <c r="BD101" s="1096"/>
      <c r="BE101" s="1096"/>
      <c r="BF101" s="1096"/>
      <c r="BG101" s="1096"/>
      <c r="BH101" s="1096"/>
      <c r="BI101" s="1096"/>
      <c r="BJ101" s="1096"/>
      <c r="BK101" s="1096"/>
      <c r="BL101" s="1096"/>
      <c r="BM101" s="1096"/>
      <c r="BN101" s="1096"/>
      <c r="BO101" s="1096"/>
      <c r="BP101" s="1096"/>
      <c r="BQ101" s="1096"/>
      <c r="BR101" s="1096"/>
      <c r="BS101" s="1096"/>
      <c r="BT101" s="1096"/>
      <c r="BU101" s="1096"/>
    </row>
    <row r="102" spans="1:73" ht="13" x14ac:dyDescent="0.3">
      <c r="A102" s="1096"/>
      <c r="B102" s="1096"/>
      <c r="C102" s="1120">
        <v>2</v>
      </c>
      <c r="D102" s="1100" t="str">
        <f t="shared" ca="1" si="34"/>
        <v>Operating Capacity Factor
(95%, 90%, 86%)</v>
      </c>
      <c r="E102" s="1195">
        <f t="shared" ca="1" si="35"/>
        <v>1.3067736916690487</v>
      </c>
      <c r="F102" s="1195">
        <f t="shared" si="36"/>
        <v>1.3158315472358189</v>
      </c>
      <c r="G102" s="1195">
        <f t="shared" ca="1" si="37"/>
        <v>1.3258428612833015</v>
      </c>
      <c r="H102" s="1100">
        <f t="shared" ref="H102:H107" ca="1" si="39">+E102</f>
        <v>1.3067736916690487</v>
      </c>
      <c r="I102" s="1100">
        <f t="shared" ref="I102:I107" ca="1" si="40">+F102-E102</f>
        <v>9.0578555667701899E-3</v>
      </c>
      <c r="J102" s="1100">
        <f t="shared" ref="J102:J107" ca="1" si="41">+G102-F102</f>
        <v>1.0011314047482678E-2</v>
      </c>
      <c r="K102" s="1096"/>
      <c r="L102" s="1100" t="str">
        <f ca="1">+B4&amp;"
("&amp;TEXT(H4,"0,000")&amp;", "&amp;TEXT(C4,"0,000")&amp;", "&amp;TEXT(I4,"0,000")&amp;") "</f>
        <v xml:space="preserve">Plant Design Capacity (kg of H2/day)
(398,356, 379,387, 360,418) </v>
      </c>
      <c r="M102" s="1110">
        <f>+ABS(K54-K55)+0.000000002</f>
        <v>7.4515961632526948E-3</v>
      </c>
      <c r="N102" s="1100">
        <f t="shared" si="38"/>
        <v>4</v>
      </c>
      <c r="O102" s="1107"/>
      <c r="P102" s="1096"/>
      <c r="Q102" s="1096"/>
      <c r="R102" s="1096"/>
      <c r="S102" s="1096"/>
      <c r="T102" s="1096"/>
      <c r="U102" s="1096"/>
      <c r="V102" s="1096"/>
      <c r="W102" s="1096"/>
      <c r="X102" s="1096"/>
      <c r="Y102" s="1096"/>
      <c r="Z102" s="1096"/>
      <c r="AA102" s="1096"/>
      <c r="AB102" s="1096"/>
      <c r="AC102" s="1096"/>
      <c r="AD102" s="1096"/>
      <c r="AE102" s="1096"/>
      <c r="AF102" s="1096"/>
      <c r="AG102" s="1096"/>
      <c r="AH102" s="1096"/>
      <c r="AI102" s="1096"/>
      <c r="AJ102" s="1096"/>
      <c r="AK102" s="1096"/>
      <c r="AL102" s="1096"/>
      <c r="AM102" s="1096"/>
      <c r="AN102" s="1096"/>
      <c r="AO102" s="1096"/>
      <c r="AP102" s="1096"/>
      <c r="AQ102" s="1096"/>
      <c r="AR102" s="1096"/>
      <c r="AS102" s="1096"/>
      <c r="AT102" s="1096"/>
      <c r="AU102" s="1096"/>
      <c r="AV102" s="1096"/>
      <c r="AW102" s="1096"/>
      <c r="AX102" s="1096"/>
      <c r="AY102" s="1096"/>
      <c r="AZ102" s="1096"/>
      <c r="BA102" s="1096"/>
      <c r="BB102" s="1096"/>
      <c r="BC102" s="1096"/>
      <c r="BD102" s="1096"/>
      <c r="BE102" s="1096"/>
      <c r="BF102" s="1096"/>
      <c r="BG102" s="1096"/>
      <c r="BH102" s="1096"/>
      <c r="BI102" s="1096"/>
      <c r="BJ102" s="1096"/>
      <c r="BK102" s="1096"/>
      <c r="BL102" s="1096"/>
      <c r="BM102" s="1096"/>
      <c r="BN102" s="1096"/>
      <c r="BO102" s="1096"/>
      <c r="BP102" s="1096"/>
      <c r="BQ102" s="1096"/>
      <c r="BR102" s="1096"/>
      <c r="BS102" s="1096"/>
      <c r="BT102" s="1096"/>
      <c r="BU102" s="1096"/>
    </row>
    <row r="103" spans="1:73" ht="13" x14ac:dyDescent="0.3">
      <c r="A103" s="1096"/>
      <c r="B103" s="1096"/>
      <c r="C103" s="1120">
        <v>3</v>
      </c>
      <c r="D103" s="1100" t="str">
        <f t="shared" ca="1" si="34"/>
        <v xml:space="preserve">Total Capital Investment
($177,186K, $186,511K, $195,837K) </v>
      </c>
      <c r="E103" s="1195">
        <f t="shared" ca="1" si="35"/>
        <v>1.3095838188313211</v>
      </c>
      <c r="F103" s="1195">
        <f t="shared" si="36"/>
        <v>1.3158315472358189</v>
      </c>
      <c r="G103" s="1195">
        <f t="shared" ca="1" si="37"/>
        <v>1.322079275640317</v>
      </c>
      <c r="H103" s="1100">
        <f t="shared" ca="1" si="39"/>
        <v>1.3095838188313211</v>
      </c>
      <c r="I103" s="1100">
        <f t="shared" ca="1" si="40"/>
        <v>6.247728404497721E-3</v>
      </c>
      <c r="J103" s="1100">
        <f t="shared" ca="1" si="41"/>
        <v>6.2477284044981651E-3</v>
      </c>
      <c r="K103" s="1096"/>
      <c r="L103" s="1100" t="str">
        <f ca="1">+B5&amp;"
("&amp;TEXT(H5,"0%, ")&amp;TEXT(C5,"0%, ")&amp;TEXT(I5,"0%)")</f>
        <v>After-tax Real IRR
(8%, 8%, 8%)</v>
      </c>
      <c r="M103" s="1110">
        <f>+ABS(K56-K57)+0.000000003</f>
        <v>6.1348335750665856E-3</v>
      </c>
      <c r="N103" s="1100">
        <f t="shared" si="38"/>
        <v>6</v>
      </c>
      <c r="O103" s="1107"/>
      <c r="P103" s="1096"/>
      <c r="Q103" s="1096"/>
      <c r="R103" s="1096"/>
      <c r="S103" s="1096"/>
      <c r="T103" s="1096"/>
      <c r="U103" s="1096"/>
      <c r="V103" s="1096"/>
      <c r="W103" s="1096"/>
      <c r="X103" s="1096"/>
      <c r="Y103" s="1096"/>
      <c r="Z103" s="1096"/>
      <c r="AA103" s="1096"/>
      <c r="AB103" s="1096"/>
      <c r="AC103" s="1096"/>
      <c r="AD103" s="1096"/>
      <c r="AE103" s="1096"/>
      <c r="AF103" s="1096"/>
      <c r="AG103" s="1096"/>
      <c r="AH103" s="1096"/>
      <c r="AI103" s="1096"/>
      <c r="AJ103" s="1096"/>
      <c r="AK103" s="1096"/>
      <c r="AL103" s="1096"/>
      <c r="AM103" s="1096"/>
      <c r="AN103" s="1096"/>
      <c r="AO103" s="1096"/>
      <c r="AP103" s="1096"/>
      <c r="AQ103" s="1096"/>
      <c r="AR103" s="1096"/>
      <c r="AS103" s="1096"/>
      <c r="AT103" s="1096"/>
      <c r="AU103" s="1096"/>
      <c r="AV103" s="1096"/>
      <c r="AW103" s="1096"/>
      <c r="AX103" s="1096"/>
      <c r="AY103" s="1096"/>
      <c r="AZ103" s="1096"/>
      <c r="BA103" s="1096"/>
      <c r="BB103" s="1096"/>
      <c r="BC103" s="1096"/>
      <c r="BD103" s="1096"/>
      <c r="BE103" s="1096"/>
      <c r="BF103" s="1096"/>
      <c r="BG103" s="1096"/>
      <c r="BH103" s="1096"/>
      <c r="BI103" s="1096"/>
      <c r="BJ103" s="1096"/>
      <c r="BK103" s="1096"/>
      <c r="BL103" s="1096"/>
      <c r="BM103" s="1096"/>
      <c r="BN103" s="1096"/>
      <c r="BO103" s="1096"/>
      <c r="BP103" s="1096"/>
      <c r="BQ103" s="1096"/>
      <c r="BR103" s="1096"/>
      <c r="BS103" s="1096"/>
      <c r="BT103" s="1096"/>
      <c r="BU103" s="1096"/>
    </row>
    <row r="104" spans="1:73" ht="13" x14ac:dyDescent="0.3">
      <c r="A104" s="1096"/>
      <c r="B104" s="1096"/>
      <c r="C104" s="1120">
        <v>4</v>
      </c>
      <c r="D104" s="1100" t="str">
        <f t="shared" ca="1" si="34"/>
        <v xml:space="preserve">Plant Design Capacity (kg of H2/day)
(398,356, 379,387, 360,418) </v>
      </c>
      <c r="E104" s="1195">
        <f t="shared" ca="1" si="35"/>
        <v>1.3122440885996933</v>
      </c>
      <c r="F104" s="1195">
        <f t="shared" si="36"/>
        <v>1.3158315472358189</v>
      </c>
      <c r="G104" s="1195">
        <f t="shared" ca="1" si="37"/>
        <v>1.319695682762946</v>
      </c>
      <c r="H104" s="1100">
        <f t="shared" ca="1" si="39"/>
        <v>1.3122440885996933</v>
      </c>
      <c r="I104" s="1100">
        <f t="shared" ca="1" si="40"/>
        <v>3.587458636125529E-3</v>
      </c>
      <c r="J104" s="1100">
        <f t="shared" ca="1" si="41"/>
        <v>3.864135527127166E-3</v>
      </c>
      <c r="K104" s="1096"/>
      <c r="L104" s="1100" t="str">
        <f>+B6&amp;"
("&amp;TEXT(H6,"0%, ")&amp;TEXT(C6,"0%, ")&amp;TEXT(I6,"0%)")</f>
        <v>Feedstock Consumption (% of baseline)
(95%, 100%, 105%)</v>
      </c>
      <c r="M104" s="1110">
        <f>+ABS(K58-K59)+0.000000004</f>
        <v>0.10513399339822815</v>
      </c>
      <c r="N104" s="1100">
        <f t="shared" si="38"/>
        <v>1</v>
      </c>
      <c r="O104" s="1107"/>
      <c r="P104" s="1096"/>
      <c r="Q104" s="1096"/>
      <c r="R104" s="1096"/>
      <c r="S104" s="1096"/>
      <c r="T104" s="1096"/>
      <c r="U104" s="1096"/>
      <c r="V104" s="1096"/>
      <c r="W104" s="1096"/>
      <c r="X104" s="1096"/>
      <c r="Y104" s="1096"/>
      <c r="Z104" s="1096"/>
      <c r="AA104" s="1096"/>
      <c r="AB104" s="1096"/>
      <c r="AC104" s="1096"/>
      <c r="AD104" s="1096"/>
      <c r="AE104" s="1096"/>
      <c r="AF104" s="1096"/>
      <c r="AG104" s="1096"/>
      <c r="AH104" s="1096"/>
      <c r="AI104" s="1096"/>
      <c r="AJ104" s="1096"/>
      <c r="AK104" s="1096"/>
      <c r="AL104" s="1096"/>
      <c r="AM104" s="1096"/>
      <c r="AN104" s="1096"/>
      <c r="AO104" s="1096"/>
      <c r="AP104" s="1096"/>
      <c r="AQ104" s="1096"/>
      <c r="AR104" s="1096"/>
      <c r="AS104" s="1096"/>
      <c r="AT104" s="1096"/>
      <c r="AU104" s="1096"/>
      <c r="AV104" s="1096"/>
      <c r="AW104" s="1096"/>
      <c r="AX104" s="1096"/>
      <c r="AY104" s="1096"/>
      <c r="AZ104" s="1096"/>
      <c r="BA104" s="1096"/>
      <c r="BB104" s="1096"/>
      <c r="BC104" s="1096"/>
      <c r="BD104" s="1096"/>
      <c r="BE104" s="1096"/>
      <c r="BF104" s="1096"/>
      <c r="BG104" s="1096"/>
      <c r="BH104" s="1096"/>
      <c r="BI104" s="1096"/>
      <c r="BJ104" s="1096"/>
      <c r="BK104" s="1096"/>
      <c r="BL104" s="1096"/>
      <c r="BM104" s="1096"/>
      <c r="BN104" s="1096"/>
      <c r="BO104" s="1096"/>
      <c r="BP104" s="1096"/>
      <c r="BQ104" s="1096"/>
      <c r="BR104" s="1096"/>
      <c r="BS104" s="1096"/>
      <c r="BT104" s="1096"/>
      <c r="BU104" s="1096"/>
    </row>
    <row r="105" spans="1:73" ht="13" x14ac:dyDescent="0.3">
      <c r="A105" s="1096"/>
      <c r="B105" s="1096"/>
      <c r="C105" s="1120">
        <v>5</v>
      </c>
      <c r="D105" s="1100" t="str">
        <f t="shared" ca="1" si="34"/>
        <v xml:space="preserve">Total Fixed Operating Cost
($7,029K, $7,399K, $7,769K) </v>
      </c>
      <c r="E105" s="1195">
        <f t="shared" ca="1" si="35"/>
        <v>1.3127473710850819</v>
      </c>
      <c r="F105" s="1195">
        <f t="shared" si="36"/>
        <v>1.3158315472358189</v>
      </c>
      <c r="G105" s="1195">
        <f t="shared" ca="1" si="37"/>
        <v>1.3189157233865563</v>
      </c>
      <c r="H105" s="1100">
        <f t="shared" ref="H105" ca="1" si="42">+E105</f>
        <v>1.3127473710850819</v>
      </c>
      <c r="I105" s="1100">
        <f t="shared" ref="I105" ca="1" si="43">+F105-E105</f>
        <v>3.0841761507369725E-3</v>
      </c>
      <c r="J105" s="1100">
        <f t="shared" ref="J105" ca="1" si="44">+G105-F105</f>
        <v>3.0841761507374166E-3</v>
      </c>
      <c r="K105" s="1096"/>
      <c r="L105" s="1100" t="str">
        <f>+B7&amp;"
("&amp;TEXT(H7,"0%, ")&amp;TEXT(C7,"0%, ")&amp;TEXT(I7,"0%)")</f>
        <v>Utilities Consumption (% of baseline)
(95%, 100%, 105%)</v>
      </c>
      <c r="M105" s="1110">
        <f>+ABS(K60-K61)+0.000000004</f>
        <v>4.9265862206763229E-3</v>
      </c>
      <c r="N105" s="1100">
        <f t="shared" si="38"/>
        <v>7</v>
      </c>
      <c r="O105" s="1107"/>
      <c r="P105" s="1096"/>
      <c r="Q105" s="1096"/>
      <c r="R105" s="1096"/>
      <c r="S105" s="1096"/>
      <c r="T105" s="1096"/>
      <c r="U105" s="1096"/>
      <c r="V105" s="1096"/>
      <c r="W105" s="1096"/>
      <c r="X105" s="1096"/>
      <c r="Y105" s="1096"/>
      <c r="Z105" s="1096"/>
      <c r="AA105" s="1096"/>
      <c r="AB105" s="1096"/>
      <c r="AC105" s="1096"/>
      <c r="AD105" s="1096"/>
      <c r="AE105" s="1096"/>
      <c r="AF105" s="1096"/>
      <c r="AG105" s="1096"/>
      <c r="AH105" s="1096"/>
      <c r="AI105" s="1096"/>
      <c r="AJ105" s="1096"/>
      <c r="AK105" s="1096"/>
      <c r="AL105" s="1096"/>
      <c r="AM105" s="1096"/>
      <c r="AN105" s="1096"/>
      <c r="AO105" s="1096"/>
      <c r="AP105" s="1096"/>
      <c r="AQ105" s="1096"/>
      <c r="AR105" s="1096"/>
      <c r="AS105" s="1096"/>
      <c r="AT105" s="1096"/>
      <c r="AU105" s="1096"/>
      <c r="AV105" s="1096"/>
      <c r="AW105" s="1096"/>
      <c r="AX105" s="1096"/>
      <c r="AY105" s="1096"/>
      <c r="AZ105" s="1096"/>
      <c r="BA105" s="1096"/>
      <c r="BB105" s="1096"/>
      <c r="BC105" s="1096"/>
      <c r="BD105" s="1096"/>
      <c r="BE105" s="1096"/>
      <c r="BF105" s="1096"/>
      <c r="BG105" s="1096"/>
      <c r="BH105" s="1096"/>
      <c r="BI105" s="1096"/>
      <c r="BJ105" s="1096"/>
      <c r="BK105" s="1096"/>
      <c r="BL105" s="1096"/>
      <c r="BM105" s="1096"/>
      <c r="BN105" s="1096"/>
      <c r="BO105" s="1096"/>
      <c r="BP105" s="1096"/>
      <c r="BQ105" s="1096"/>
      <c r="BR105" s="1096"/>
      <c r="BS105" s="1096"/>
      <c r="BT105" s="1096"/>
      <c r="BU105" s="1096"/>
    </row>
    <row r="106" spans="1:73" ht="13" x14ac:dyDescent="0.3">
      <c r="A106" s="1096"/>
      <c r="B106" s="1096"/>
      <c r="C106" s="1120">
        <v>6</v>
      </c>
      <c r="D106" s="1100" t="str">
        <f t="shared" ca="1" si="34"/>
        <v>After-tax Real IRR
(8%, 8%, 8%)</v>
      </c>
      <c r="E106" s="1195">
        <f t="shared" ca="1" si="35"/>
        <v>1.3128499129124052</v>
      </c>
      <c r="F106" s="1195">
        <f t="shared" si="36"/>
        <v>1.3158315472358189</v>
      </c>
      <c r="G106" s="1195">
        <f t="shared" ca="1" si="37"/>
        <v>1.3189847434874717</v>
      </c>
      <c r="H106" s="1100">
        <f t="shared" ca="1" si="39"/>
        <v>1.3128499129124052</v>
      </c>
      <c r="I106" s="1100">
        <f t="shared" ca="1" si="40"/>
        <v>2.9816343234136955E-3</v>
      </c>
      <c r="J106" s="1100">
        <f t="shared" ca="1" si="41"/>
        <v>3.15319625165289E-3</v>
      </c>
      <c r="K106" s="1096"/>
      <c r="L106" s="1100" t="str">
        <f ca="1">+B8&amp;"
("&amp;TEXT(H8/1000,"$0,000K")&amp;", "&amp;TEXT(C8/1000,"$0,000K")&amp;", "&amp;TEXT(I8/1000,"$0,000K")&amp;") "</f>
        <v xml:space="preserve">Total Capital Investment
($177,186K, $186,511K, $195,837K) </v>
      </c>
      <c r="M106" s="1110">
        <f>+ABS(K62-K63)+0.000000006</f>
        <v>1.2495462808995886E-2</v>
      </c>
      <c r="N106" s="1100">
        <f t="shared" si="38"/>
        <v>3</v>
      </c>
      <c r="O106" s="1107"/>
      <c r="P106" s="1096"/>
      <c r="Q106" s="1096"/>
      <c r="R106" s="1096"/>
      <c r="S106" s="1096"/>
      <c r="T106" s="1096"/>
      <c r="U106" s="1096"/>
      <c r="V106" s="1096"/>
      <c r="W106" s="1096"/>
      <c r="X106" s="1096"/>
      <c r="Y106" s="1096"/>
      <c r="Z106" s="1096"/>
      <c r="AA106" s="1096"/>
      <c r="AB106" s="1096"/>
      <c r="AC106" s="1096"/>
      <c r="AD106" s="1096"/>
      <c r="AE106" s="1096"/>
      <c r="AF106" s="1096"/>
      <c r="AG106" s="1096"/>
      <c r="AH106" s="1096"/>
      <c r="AI106" s="1096"/>
      <c r="AJ106" s="1096"/>
      <c r="AK106" s="1096"/>
      <c r="AL106" s="1096"/>
      <c r="AM106" s="1096"/>
      <c r="AN106" s="1096"/>
      <c r="AO106" s="1096"/>
      <c r="AP106" s="1096"/>
      <c r="AQ106" s="1096"/>
      <c r="AR106" s="1096"/>
      <c r="AS106" s="1096"/>
      <c r="AT106" s="1096"/>
      <c r="AU106" s="1096"/>
      <c r="AV106" s="1096"/>
      <c r="AW106" s="1096"/>
      <c r="AX106" s="1096"/>
      <c r="AY106" s="1096"/>
      <c r="AZ106" s="1096"/>
      <c r="BA106" s="1096"/>
      <c r="BB106" s="1096"/>
      <c r="BC106" s="1096"/>
      <c r="BD106" s="1096"/>
      <c r="BE106" s="1096"/>
      <c r="BF106" s="1096"/>
      <c r="BG106" s="1096"/>
      <c r="BH106" s="1096"/>
      <c r="BI106" s="1096"/>
      <c r="BJ106" s="1096"/>
      <c r="BK106" s="1096"/>
      <c r="BL106" s="1096"/>
      <c r="BM106" s="1096"/>
      <c r="BN106" s="1096"/>
      <c r="BO106" s="1096"/>
      <c r="BP106" s="1096"/>
      <c r="BQ106" s="1096"/>
      <c r="BR106" s="1096"/>
      <c r="BS106" s="1096"/>
      <c r="BT106" s="1096"/>
      <c r="BU106" s="1096"/>
    </row>
    <row r="107" spans="1:73" ht="13" x14ac:dyDescent="0.3">
      <c r="A107" s="1096"/>
      <c r="B107" s="1096"/>
      <c r="C107" s="1120">
        <v>7</v>
      </c>
      <c r="D107" s="1100" t="str">
        <f t="shared" ca="1" si="34"/>
        <v>Utilities Consumption (% of baseline)
(95%, 100%, 105%)</v>
      </c>
      <c r="E107" s="1195">
        <f t="shared" ca="1" si="35"/>
        <v>1.3133682561254809</v>
      </c>
      <c r="F107" s="1195">
        <f t="shared" si="36"/>
        <v>1.3158315472358189</v>
      </c>
      <c r="G107" s="1195">
        <f t="shared" ca="1" si="37"/>
        <v>1.3182948383461572</v>
      </c>
      <c r="H107" s="1100">
        <f t="shared" ca="1" si="39"/>
        <v>1.3133682561254809</v>
      </c>
      <c r="I107" s="1100">
        <f t="shared" ca="1" si="40"/>
        <v>2.4632911103379396E-3</v>
      </c>
      <c r="J107" s="1100">
        <f t="shared" ca="1" si="41"/>
        <v>2.4632911103383837E-3</v>
      </c>
      <c r="K107" s="1096"/>
      <c r="L107" s="1100" t="str">
        <f ca="1">+B9&amp;"
("&amp;TEXT(H9/1000,"$0,000K")&amp;", "&amp;TEXT(C9/1000,"$0,000K")&amp;", "&amp;TEXT(I9/1000,"$0,000K")&amp;") "</f>
        <v xml:space="preserve">Total Fixed Operating Cost
($7,029K, $7,399K, $7,769K) </v>
      </c>
      <c r="M107" s="1110">
        <f>+ABS(K64-K65)+0.00000007</f>
        <v>6.1684223014743886E-3</v>
      </c>
      <c r="N107" s="1100">
        <f t="shared" si="38"/>
        <v>5</v>
      </c>
      <c r="O107" s="1107"/>
      <c r="P107" s="1096"/>
      <c r="Q107" s="1096"/>
      <c r="R107" s="1096"/>
      <c r="S107" s="1096"/>
      <c r="T107" s="1096"/>
      <c r="U107" s="1096"/>
      <c r="V107" s="1096"/>
      <c r="W107" s="1096"/>
      <c r="X107" s="1096"/>
      <c r="Y107" s="1096"/>
      <c r="Z107" s="1096"/>
      <c r="AA107" s="1096"/>
      <c r="AB107" s="1096"/>
      <c r="AC107" s="1096"/>
      <c r="AD107" s="1096"/>
      <c r="AE107" s="1096"/>
      <c r="AF107" s="1096"/>
      <c r="AG107" s="1096"/>
      <c r="AH107" s="1096"/>
      <c r="AI107" s="1096"/>
      <c r="AJ107" s="1096"/>
      <c r="AK107" s="1096"/>
      <c r="AL107" s="1096"/>
      <c r="AM107" s="1096"/>
      <c r="AN107" s="1096"/>
      <c r="AO107" s="1096"/>
      <c r="AP107" s="1096"/>
      <c r="AQ107" s="1096"/>
      <c r="AR107" s="1096"/>
      <c r="AS107" s="1096"/>
      <c r="AT107" s="1096"/>
      <c r="AU107" s="1096"/>
      <c r="AV107" s="1096"/>
      <c r="AW107" s="1096"/>
      <c r="AX107" s="1096"/>
      <c r="AY107" s="1096"/>
      <c r="AZ107" s="1096"/>
      <c r="BA107" s="1096"/>
      <c r="BB107" s="1096"/>
      <c r="BC107" s="1096"/>
      <c r="BD107" s="1096"/>
      <c r="BE107" s="1096"/>
      <c r="BF107" s="1096"/>
      <c r="BG107" s="1096"/>
      <c r="BH107" s="1096"/>
      <c r="BI107" s="1096"/>
      <c r="BJ107" s="1096"/>
      <c r="BK107" s="1096"/>
      <c r="BL107" s="1096"/>
      <c r="BM107" s="1096"/>
      <c r="BN107" s="1096"/>
      <c r="BO107" s="1096"/>
      <c r="BP107" s="1096"/>
      <c r="BQ107" s="1096"/>
      <c r="BR107" s="1096"/>
      <c r="BS107" s="1096"/>
      <c r="BT107" s="1096"/>
      <c r="BU107" s="1096"/>
    </row>
    <row r="108" spans="1:73" x14ac:dyDescent="0.25">
      <c r="A108" s="1096"/>
      <c r="B108" s="1096"/>
      <c r="C108" s="1096"/>
      <c r="D108" s="1096"/>
      <c r="E108" s="1096"/>
      <c r="F108" s="1096"/>
      <c r="G108" s="1096"/>
      <c r="H108" s="1096"/>
      <c r="I108" s="1096"/>
      <c r="J108" s="1096"/>
      <c r="K108" s="1096"/>
      <c r="L108" s="1096"/>
      <c r="M108" s="1096"/>
      <c r="N108" s="1096"/>
      <c r="O108" s="1096"/>
      <c r="P108" s="1096"/>
      <c r="Q108" s="1096"/>
      <c r="R108" s="1096"/>
      <c r="S108" s="1096"/>
      <c r="T108" s="1096"/>
      <c r="U108" s="1096"/>
      <c r="V108" s="1096"/>
      <c r="W108" s="1096"/>
      <c r="X108" s="1096"/>
      <c r="Y108" s="1096"/>
      <c r="Z108" s="1096"/>
      <c r="AA108" s="1096"/>
      <c r="AB108" s="1096"/>
      <c r="AC108" s="1096"/>
      <c r="AD108" s="1096"/>
      <c r="AE108" s="1096"/>
      <c r="AF108" s="1096"/>
      <c r="AG108" s="1096"/>
      <c r="AH108" s="1096"/>
      <c r="AI108" s="1096"/>
      <c r="AJ108" s="1096"/>
      <c r="AK108" s="1096"/>
      <c r="AL108" s="1096"/>
      <c r="AM108" s="1096"/>
      <c r="AN108" s="1096"/>
      <c r="AO108" s="1096"/>
      <c r="AP108" s="1096"/>
      <c r="AQ108" s="1096"/>
      <c r="AR108" s="1096"/>
      <c r="AS108" s="1096"/>
      <c r="AT108" s="1096"/>
      <c r="AU108" s="1096"/>
      <c r="AV108" s="1096"/>
      <c r="AW108" s="1096"/>
      <c r="AX108" s="1096"/>
      <c r="AY108" s="1096"/>
      <c r="AZ108" s="1096"/>
      <c r="BA108" s="1096"/>
      <c r="BB108" s="1096"/>
      <c r="BC108" s="1096"/>
      <c r="BD108" s="1096"/>
      <c r="BE108" s="1096"/>
      <c r="BF108" s="1096"/>
      <c r="BG108" s="1096"/>
      <c r="BH108" s="1096"/>
      <c r="BI108" s="1096"/>
      <c r="BJ108" s="1096"/>
      <c r="BK108" s="1096"/>
      <c r="BL108" s="1096"/>
      <c r="BM108" s="1096"/>
      <c r="BN108" s="1096"/>
      <c r="BO108" s="1096"/>
      <c r="BP108" s="1096"/>
      <c r="BQ108" s="1096"/>
      <c r="BR108" s="1096"/>
      <c r="BS108" s="1096"/>
      <c r="BT108" s="1096"/>
      <c r="BU108" s="1096"/>
    </row>
    <row r="109" spans="1:73" x14ac:dyDescent="0.25">
      <c r="A109" s="1096"/>
      <c r="B109" s="1096"/>
      <c r="C109" s="1096"/>
      <c r="D109" s="1096"/>
      <c r="E109" s="1096"/>
      <c r="F109" s="1096"/>
      <c r="G109" s="1096"/>
      <c r="H109" s="1096"/>
      <c r="I109" s="1096"/>
      <c r="J109" s="1096"/>
      <c r="K109" s="1096"/>
      <c r="L109" s="1096"/>
      <c r="M109" s="1096"/>
      <c r="N109" s="1096"/>
      <c r="O109" s="1096"/>
      <c r="P109" s="1096"/>
      <c r="Q109" s="1096"/>
      <c r="R109" s="1096"/>
      <c r="S109" s="1096"/>
      <c r="T109" s="1096"/>
      <c r="U109" s="1096"/>
      <c r="V109" s="1096"/>
      <c r="W109" s="1096"/>
      <c r="X109" s="1096"/>
      <c r="Y109" s="1096"/>
      <c r="Z109" s="1096"/>
      <c r="AA109" s="1096"/>
      <c r="AB109" s="1096"/>
      <c r="AC109" s="1096"/>
      <c r="AD109" s="1096"/>
      <c r="AE109" s="1096"/>
      <c r="AF109" s="1096"/>
      <c r="AG109" s="1096"/>
      <c r="AH109" s="1096"/>
      <c r="AI109" s="1096"/>
      <c r="AJ109" s="1096"/>
      <c r="AK109" s="1096"/>
      <c r="AL109" s="1096"/>
      <c r="AM109" s="1096"/>
      <c r="AN109" s="1096"/>
      <c r="AO109" s="1096"/>
      <c r="AP109" s="1096"/>
      <c r="AQ109" s="1096"/>
      <c r="AR109" s="1096"/>
      <c r="AS109" s="1096"/>
      <c r="AT109" s="1096"/>
      <c r="AU109" s="1096"/>
      <c r="AV109" s="1096"/>
      <c r="AW109" s="1096"/>
      <c r="AX109" s="1096"/>
      <c r="AY109" s="1096"/>
      <c r="AZ109" s="1096"/>
      <c r="BA109" s="1096"/>
      <c r="BB109" s="1096"/>
      <c r="BC109" s="1096"/>
      <c r="BD109" s="1096"/>
      <c r="BE109" s="1096"/>
      <c r="BF109" s="1096"/>
      <c r="BG109" s="1096"/>
      <c r="BH109" s="1096"/>
      <c r="BI109" s="1096"/>
      <c r="BJ109" s="1096"/>
      <c r="BK109" s="1096"/>
      <c r="BL109" s="1096"/>
      <c r="BM109" s="1096"/>
      <c r="BN109" s="1096"/>
      <c r="BO109" s="1096"/>
      <c r="BP109" s="1096"/>
      <c r="BQ109" s="1096"/>
      <c r="BR109" s="1096"/>
      <c r="BS109" s="1096"/>
      <c r="BT109" s="1096"/>
      <c r="BU109" s="1096"/>
    </row>
    <row r="110" spans="1:73" ht="52" x14ac:dyDescent="0.3">
      <c r="A110" s="1096"/>
      <c r="B110" s="1098" t="s">
        <v>1161</v>
      </c>
      <c r="C110" s="1119" t="s">
        <v>1148</v>
      </c>
      <c r="D110" s="1107" t="str">
        <f t="shared" ref="D110:G110" si="45">+D76</f>
        <v>Chart titles</v>
      </c>
      <c r="E110" s="1107" t="s">
        <v>1181</v>
      </c>
      <c r="F110" s="1107" t="s">
        <v>1182</v>
      </c>
      <c r="G110" s="1107" t="str">
        <f t="shared" si="45"/>
        <v>Salvage Value</v>
      </c>
      <c r="H110" s="1107" t="str">
        <f t="shared" ref="H110:S110" si="46">+H76</f>
        <v>Initial Equity Depreciable Capital</v>
      </c>
      <c r="I110" s="1107" t="str">
        <f t="shared" si="46"/>
        <v>Yearly Replacement Costs</v>
      </c>
      <c r="J110" s="1107" t="str">
        <f t="shared" si="46"/>
        <v>Cash for Working Capital Reserve</v>
      </c>
      <c r="K110" s="1107" t="str">
        <f t="shared" si="46"/>
        <v>Other Non-Depreciable Capital Costs</v>
      </c>
      <c r="L110" s="1107" t="str">
        <f t="shared" si="46"/>
        <v>Decommissioning Costs</v>
      </c>
      <c r="M110" s="1107" t="str">
        <f t="shared" si="46"/>
        <v>Fixed Operating Cost</v>
      </c>
      <c r="N110" s="1107" t="str">
        <f t="shared" si="46"/>
        <v>Feedstock Cost</v>
      </c>
      <c r="O110" s="1107" t="str">
        <f t="shared" si="46"/>
        <v>Other Raw Material Cost</v>
      </c>
      <c r="P110" s="1107" t="str">
        <f t="shared" si="46"/>
        <v>Other Variable Operating Costs</v>
      </c>
      <c r="Q110" s="1107" t="str">
        <f t="shared" si="46"/>
        <v>Debt Interest</v>
      </c>
      <c r="R110" s="1107" t="str">
        <f t="shared" si="46"/>
        <v>Taxes</v>
      </c>
      <c r="S110" s="1107" t="str">
        <f t="shared" si="46"/>
        <v>Principal Payment</v>
      </c>
      <c r="T110" s="1096"/>
      <c r="U110" s="1096"/>
      <c r="V110" s="1096"/>
      <c r="W110" s="1096"/>
      <c r="X110" s="1096"/>
      <c r="Y110" s="1096"/>
      <c r="Z110" s="1096"/>
      <c r="AA110" s="1096"/>
      <c r="AB110" s="1096"/>
      <c r="AC110" s="1096"/>
      <c r="AD110" s="1096"/>
      <c r="AE110" s="1096"/>
      <c r="AF110" s="1096"/>
      <c r="AG110" s="1096"/>
      <c r="AH110" s="1096"/>
      <c r="AI110" s="1096"/>
      <c r="AJ110" s="1096"/>
      <c r="AK110" s="1096"/>
      <c r="AL110" s="1096"/>
      <c r="AM110" s="1096"/>
      <c r="AN110" s="1096"/>
      <c r="AO110" s="1096"/>
      <c r="AP110" s="1096"/>
      <c r="AQ110" s="1096"/>
      <c r="AR110" s="1096"/>
      <c r="AS110" s="1096"/>
      <c r="AT110" s="1096"/>
      <c r="AU110" s="1096"/>
      <c r="AV110" s="1096"/>
      <c r="AW110" s="1096"/>
      <c r="AX110" s="1096"/>
      <c r="AY110" s="1096"/>
      <c r="AZ110" s="1096"/>
      <c r="BA110" s="1096"/>
      <c r="BB110" s="1096"/>
      <c r="BC110" s="1096"/>
      <c r="BD110" s="1096"/>
      <c r="BE110" s="1096"/>
      <c r="BF110" s="1096"/>
      <c r="BG110" s="1096"/>
      <c r="BH110" s="1096"/>
      <c r="BI110" s="1096"/>
      <c r="BJ110" s="1096"/>
      <c r="BK110" s="1096"/>
      <c r="BL110" s="1096"/>
      <c r="BM110" s="1096"/>
      <c r="BN110" s="1096"/>
      <c r="BO110" s="1096"/>
      <c r="BP110" s="1096"/>
      <c r="BQ110" s="1096"/>
      <c r="BR110" s="1096"/>
      <c r="BS110" s="1096"/>
      <c r="BT110" s="1096"/>
      <c r="BU110" s="1096"/>
    </row>
    <row r="111" spans="1:73" x14ac:dyDescent="0.25">
      <c r="A111" s="1096"/>
      <c r="B111" s="1096"/>
      <c r="C111" s="1120">
        <v>1</v>
      </c>
      <c r="D111" s="1099" t="s">
        <v>1180</v>
      </c>
      <c r="E111" s="1113">
        <f ca="1">OFFSET(E$76,MATCH($C111,$N$101:$N$107,0)*3-1,0)</f>
        <v>1.3158315472358189</v>
      </c>
      <c r="F111" s="1113">
        <f ca="1">OFFSET(F$76,MATCH($C111,$N$101:$N$107,0)*3-1,0)</f>
        <v>0</v>
      </c>
      <c r="G111" s="1113">
        <f ca="1">OFFSET(G$76,MATCH($C111,$N$101:$N$107,0)*3-1,0)</f>
        <v>6.0102079727676302E-4</v>
      </c>
      <c r="H111" s="1100"/>
      <c r="I111" s="1100"/>
      <c r="J111" s="1100"/>
      <c r="K111" s="1100"/>
      <c r="L111" s="1100"/>
      <c r="M111" s="1100"/>
      <c r="N111" s="1100"/>
      <c r="O111" s="1100"/>
      <c r="P111" s="1100"/>
      <c r="Q111" s="1100"/>
      <c r="R111" s="1100"/>
      <c r="S111" s="1100"/>
      <c r="T111" s="1096"/>
      <c r="U111" s="1096"/>
      <c r="V111" s="1096"/>
      <c r="W111" s="1096"/>
      <c r="X111" s="1096"/>
      <c r="Y111" s="1096"/>
      <c r="Z111" s="1096"/>
      <c r="AA111" s="1096"/>
      <c r="AB111" s="1096"/>
      <c r="AC111" s="1096"/>
      <c r="AD111" s="1096"/>
      <c r="AE111" s="1096"/>
      <c r="AF111" s="1096"/>
      <c r="AG111" s="1096"/>
      <c r="AH111" s="1096"/>
      <c r="AI111" s="1096"/>
      <c r="AJ111" s="1096"/>
      <c r="AK111" s="1096"/>
      <c r="AL111" s="1096"/>
      <c r="AM111" s="1096"/>
      <c r="AN111" s="1096"/>
      <c r="AO111" s="1096"/>
      <c r="AP111" s="1096"/>
      <c r="AQ111" s="1096"/>
      <c r="AR111" s="1096"/>
      <c r="AS111" s="1096"/>
      <c r="AT111" s="1096"/>
      <c r="AU111" s="1096"/>
      <c r="AV111" s="1096"/>
      <c r="AW111" s="1096"/>
      <c r="AX111" s="1096"/>
      <c r="AY111" s="1096"/>
      <c r="AZ111" s="1096"/>
      <c r="BA111" s="1096"/>
      <c r="BB111" s="1096"/>
      <c r="BC111" s="1096"/>
      <c r="BD111" s="1096"/>
      <c r="BE111" s="1096"/>
      <c r="BF111" s="1096"/>
      <c r="BG111" s="1096"/>
      <c r="BH111" s="1096"/>
      <c r="BI111" s="1096"/>
      <c r="BJ111" s="1096"/>
      <c r="BK111" s="1096"/>
      <c r="BL111" s="1096"/>
      <c r="BM111" s="1096"/>
      <c r="BN111" s="1096"/>
      <c r="BO111" s="1096"/>
      <c r="BP111" s="1096"/>
      <c r="BQ111" s="1096"/>
      <c r="BR111" s="1096"/>
      <c r="BS111" s="1096"/>
      <c r="BT111" s="1096"/>
      <c r="BU111" s="1096"/>
    </row>
    <row r="112" spans="1:73" ht="13" x14ac:dyDescent="0.3">
      <c r="A112" s="1096"/>
      <c r="B112" s="1098"/>
      <c r="C112" s="1201"/>
      <c r="D112" s="1202"/>
      <c r="E112" s="1203"/>
      <c r="F112" s="1203"/>
      <c r="G112" s="1203"/>
      <c r="H112" s="1113">
        <f t="shared" ref="H112:S112" ca="1" si="47">OFFSET(H$76,MATCH($C111,$N$101:$N$107,0)*3-1,0)</f>
        <v>5.5266169313149496E-2</v>
      </c>
      <c r="I112" s="1113">
        <f t="shared" ca="1" si="47"/>
        <v>7.7619458215004659E-3</v>
      </c>
      <c r="J112" s="1113">
        <f t="shared" ca="1" si="47"/>
        <v>1.6240608594085239E-2</v>
      </c>
      <c r="K112" s="1113">
        <f t="shared" ca="1" si="47"/>
        <v>4.4939791076757435E-4</v>
      </c>
      <c r="L112" s="1113">
        <f t="shared" ca="1" si="47"/>
        <v>5.9924728859570725E-4</v>
      </c>
      <c r="M112" s="1113">
        <f t="shared" ca="1" si="47"/>
        <v>6.0570412267480507E-2</v>
      </c>
      <c r="N112" s="1113">
        <f t="shared" ca="1" si="47"/>
        <v>1.0323787971615324</v>
      </c>
      <c r="O112" s="1113">
        <f t="shared" ca="1" si="47"/>
        <v>0</v>
      </c>
      <c r="P112" s="1113">
        <f t="shared" ca="1" si="47"/>
        <v>9.7719295943352394E-2</v>
      </c>
      <c r="Q112" s="1113">
        <f t="shared" ca="1" si="47"/>
        <v>3.6306116293509466E-2</v>
      </c>
      <c r="R112" s="1113">
        <f t="shared" ca="1" si="47"/>
        <v>7.5096238613796707E-3</v>
      </c>
      <c r="S112" s="1113">
        <f t="shared" ca="1" si="47"/>
        <v>1.6309535777419199E-3</v>
      </c>
      <c r="T112" s="1096"/>
      <c r="U112" s="1096"/>
      <c r="V112" s="1096"/>
      <c r="W112" s="1096"/>
      <c r="X112" s="1096"/>
      <c r="Y112" s="1096"/>
      <c r="Z112" s="1096"/>
      <c r="AA112" s="1096"/>
      <c r="AB112" s="1096"/>
      <c r="AC112" s="1096"/>
      <c r="AD112" s="1096"/>
      <c r="AE112" s="1096"/>
      <c r="AF112" s="1096"/>
      <c r="AG112" s="1096"/>
      <c r="AH112" s="1096"/>
      <c r="AI112" s="1096"/>
      <c r="AJ112" s="1096"/>
      <c r="AK112" s="1096"/>
      <c r="AL112" s="1096"/>
      <c r="AM112" s="1096"/>
      <c r="AN112" s="1096"/>
      <c r="AO112" s="1096"/>
      <c r="AP112" s="1096"/>
      <c r="AQ112" s="1096"/>
      <c r="AR112" s="1096"/>
      <c r="AS112" s="1096"/>
      <c r="AT112" s="1096"/>
      <c r="AU112" s="1096"/>
      <c r="AV112" s="1096"/>
      <c r="AW112" s="1096"/>
      <c r="AX112" s="1096"/>
      <c r="AY112" s="1096"/>
      <c r="AZ112" s="1096"/>
      <c r="BA112" s="1096"/>
      <c r="BB112" s="1096"/>
      <c r="BC112" s="1096"/>
      <c r="BD112" s="1096"/>
      <c r="BE112" s="1096"/>
      <c r="BF112" s="1096"/>
      <c r="BG112" s="1096"/>
      <c r="BH112" s="1096"/>
      <c r="BI112" s="1096"/>
      <c r="BJ112" s="1096"/>
      <c r="BK112" s="1096"/>
      <c r="BL112" s="1096"/>
      <c r="BM112" s="1096"/>
      <c r="BN112" s="1096"/>
      <c r="BO112" s="1096"/>
      <c r="BP112" s="1096"/>
      <c r="BQ112" s="1096"/>
      <c r="BR112" s="1096"/>
      <c r="BS112" s="1096"/>
      <c r="BT112" s="1096"/>
      <c r="BU112" s="1096"/>
    </row>
    <row r="113" spans="1:73" ht="13" x14ac:dyDescent="0.3">
      <c r="A113" s="1096"/>
      <c r="B113" s="1098"/>
      <c r="C113" s="1201"/>
      <c r="D113" s="1202"/>
      <c r="E113" s="1203"/>
      <c r="F113" s="1203"/>
      <c r="G113" s="1203"/>
      <c r="H113" s="1113"/>
      <c r="I113" s="1113"/>
      <c r="J113" s="1113"/>
      <c r="K113" s="1113"/>
      <c r="L113" s="1113"/>
      <c r="M113" s="1113"/>
      <c r="N113" s="1113"/>
      <c r="O113" s="1113"/>
      <c r="P113" s="1113"/>
      <c r="Q113" s="1113"/>
      <c r="R113" s="1113"/>
      <c r="S113" s="1113"/>
      <c r="T113" s="1096"/>
      <c r="U113" s="1096"/>
      <c r="V113" s="1096"/>
      <c r="W113" s="1096"/>
      <c r="X113" s="1096"/>
      <c r="Y113" s="1096"/>
      <c r="Z113" s="1096"/>
      <c r="AA113" s="1096"/>
      <c r="AB113" s="1096"/>
      <c r="AC113" s="1096"/>
      <c r="AD113" s="1096"/>
      <c r="AE113" s="1096"/>
      <c r="AF113" s="1096"/>
      <c r="AG113" s="1096"/>
      <c r="AH113" s="1096"/>
      <c r="AI113" s="1096"/>
      <c r="AJ113" s="1096"/>
      <c r="AK113" s="1096"/>
      <c r="AL113" s="1096"/>
      <c r="AM113" s="1096"/>
      <c r="AN113" s="1096"/>
      <c r="AO113" s="1096"/>
      <c r="AP113" s="1096"/>
      <c r="AQ113" s="1096"/>
      <c r="AR113" s="1096"/>
      <c r="AS113" s="1096"/>
      <c r="AT113" s="1096"/>
      <c r="AU113" s="1096"/>
      <c r="AV113" s="1096"/>
      <c r="AW113" s="1096"/>
      <c r="AX113" s="1096"/>
      <c r="AY113" s="1096"/>
      <c r="AZ113" s="1096"/>
      <c r="BA113" s="1096"/>
      <c r="BB113" s="1096"/>
      <c r="BC113" s="1096"/>
      <c r="BD113" s="1096"/>
      <c r="BE113" s="1096"/>
      <c r="BF113" s="1096"/>
      <c r="BG113" s="1096"/>
      <c r="BH113" s="1096"/>
      <c r="BI113" s="1096"/>
      <c r="BJ113" s="1096"/>
      <c r="BK113" s="1096"/>
      <c r="BL113" s="1096"/>
      <c r="BM113" s="1096"/>
      <c r="BN113" s="1096"/>
      <c r="BO113" s="1096"/>
      <c r="BP113" s="1096"/>
      <c r="BQ113" s="1096"/>
      <c r="BR113" s="1096"/>
      <c r="BS113" s="1096"/>
      <c r="BT113" s="1096"/>
      <c r="BU113" s="1096"/>
    </row>
    <row r="114" spans="1:73" ht="13" x14ac:dyDescent="0.3">
      <c r="A114" s="1096"/>
      <c r="B114" s="1098"/>
      <c r="C114" s="1201"/>
      <c r="D114" s="1203"/>
      <c r="E114" s="1203"/>
      <c r="F114" s="1203"/>
      <c r="G114" s="1203"/>
      <c r="H114" s="1203"/>
      <c r="I114" s="1203"/>
      <c r="J114" s="1203"/>
      <c r="K114" s="1203"/>
      <c r="L114" s="1203"/>
      <c r="M114" s="1203"/>
      <c r="N114" s="1203"/>
      <c r="O114" s="1203"/>
      <c r="P114" s="1203"/>
      <c r="Q114" s="1203"/>
      <c r="R114" s="1203"/>
      <c r="S114" s="1203"/>
      <c r="T114" s="1096"/>
      <c r="U114" s="1096"/>
      <c r="V114" s="1096"/>
      <c r="W114" s="1096"/>
      <c r="X114" s="1096"/>
      <c r="Y114" s="1096"/>
      <c r="Z114" s="1096"/>
      <c r="AA114" s="1096"/>
      <c r="AB114" s="1096"/>
      <c r="AC114" s="1096"/>
      <c r="AD114" s="1096"/>
      <c r="AE114" s="1096"/>
      <c r="AF114" s="1096"/>
      <c r="AG114" s="1096"/>
      <c r="AH114" s="1096"/>
      <c r="AI114" s="1096"/>
      <c r="AJ114" s="1096"/>
      <c r="AK114" s="1096"/>
      <c r="AL114" s="1096"/>
      <c r="AM114" s="1096"/>
      <c r="AN114" s="1096"/>
      <c r="AO114" s="1096"/>
      <c r="AP114" s="1096"/>
      <c r="AQ114" s="1096"/>
      <c r="AR114" s="1096"/>
      <c r="AS114" s="1096"/>
      <c r="AT114" s="1096"/>
      <c r="AU114" s="1096"/>
      <c r="AV114" s="1096"/>
      <c r="AW114" s="1096"/>
      <c r="AX114" s="1096"/>
      <c r="AY114" s="1096"/>
      <c r="AZ114" s="1096"/>
      <c r="BA114" s="1096"/>
      <c r="BB114" s="1096"/>
      <c r="BC114" s="1096"/>
      <c r="BD114" s="1096"/>
      <c r="BE114" s="1096"/>
      <c r="BF114" s="1096"/>
      <c r="BG114" s="1096"/>
      <c r="BH114" s="1096"/>
      <c r="BI114" s="1096"/>
      <c r="BJ114" s="1096"/>
      <c r="BK114" s="1096"/>
      <c r="BL114" s="1096"/>
      <c r="BM114" s="1096"/>
      <c r="BN114" s="1096"/>
      <c r="BO114" s="1096"/>
      <c r="BP114" s="1096"/>
      <c r="BQ114" s="1096"/>
      <c r="BR114" s="1096"/>
      <c r="BS114" s="1096"/>
      <c r="BT114" s="1096"/>
      <c r="BU114" s="1096"/>
    </row>
    <row r="115" spans="1:73" ht="13" x14ac:dyDescent="0.3">
      <c r="A115" s="1096"/>
      <c r="B115" s="1098"/>
      <c r="C115" s="1120">
        <v>1</v>
      </c>
      <c r="D115" s="1100" t="str">
        <f t="shared" ref="D115:G115" ca="1" si="48">OFFSET(D$76,MATCH($C115,$N$101:$N$107,0)*3-2,0)</f>
        <v>Feedstock Consumption (% of baseline) = 95%</v>
      </c>
      <c r="E115" s="1113">
        <f t="shared" ca="1" si="48"/>
        <v>1.2632645525367054</v>
      </c>
      <c r="F115" s="1113">
        <f t="shared" ca="1" si="48"/>
        <v>0</v>
      </c>
      <c r="G115" s="1113">
        <f t="shared" ca="1" si="48"/>
        <v>6.0102079727676302E-4</v>
      </c>
      <c r="H115" s="1203"/>
      <c r="I115" s="1203"/>
      <c r="J115" s="1203"/>
      <c r="K115" s="1203"/>
      <c r="L115" s="1203"/>
      <c r="M115" s="1203"/>
      <c r="N115" s="1203"/>
      <c r="O115" s="1203"/>
      <c r="P115" s="1203"/>
      <c r="Q115" s="1203"/>
      <c r="R115" s="1203"/>
      <c r="S115" s="1203"/>
      <c r="T115" s="1096"/>
      <c r="U115" s="1096"/>
      <c r="V115" s="1096"/>
      <c r="W115" s="1096"/>
      <c r="X115" s="1096"/>
      <c r="Y115" s="1096"/>
      <c r="Z115" s="1096"/>
      <c r="AA115" s="1096"/>
      <c r="AB115" s="1096"/>
      <c r="AC115" s="1096"/>
      <c r="AD115" s="1096"/>
      <c r="AE115" s="1096"/>
      <c r="AF115" s="1096"/>
      <c r="AG115" s="1096"/>
      <c r="AH115" s="1096"/>
      <c r="AI115" s="1096"/>
      <c r="AJ115" s="1096"/>
      <c r="AK115" s="1096"/>
      <c r="AL115" s="1096"/>
      <c r="AM115" s="1096"/>
      <c r="AN115" s="1096"/>
      <c r="AO115" s="1096"/>
      <c r="AP115" s="1096"/>
      <c r="AQ115" s="1096"/>
      <c r="AR115" s="1096"/>
      <c r="AS115" s="1096"/>
      <c r="AT115" s="1096"/>
      <c r="AU115" s="1096"/>
      <c r="AV115" s="1096"/>
      <c r="AW115" s="1096"/>
      <c r="AX115" s="1096"/>
      <c r="AY115" s="1096"/>
      <c r="AZ115" s="1096"/>
      <c r="BA115" s="1096"/>
      <c r="BB115" s="1096"/>
      <c r="BC115" s="1096"/>
      <c r="BD115" s="1096"/>
      <c r="BE115" s="1096"/>
      <c r="BF115" s="1096"/>
      <c r="BG115" s="1096"/>
      <c r="BH115" s="1096"/>
      <c r="BI115" s="1096"/>
      <c r="BJ115" s="1096"/>
      <c r="BK115" s="1096"/>
      <c r="BL115" s="1096"/>
      <c r="BM115" s="1096"/>
      <c r="BN115" s="1096"/>
      <c r="BO115" s="1096"/>
      <c r="BP115" s="1096"/>
      <c r="BQ115" s="1096"/>
      <c r="BR115" s="1096"/>
      <c r="BS115" s="1096"/>
      <c r="BT115" s="1096"/>
      <c r="BU115" s="1096"/>
    </row>
    <row r="116" spans="1:73" ht="13" x14ac:dyDescent="0.3">
      <c r="A116" s="1096"/>
      <c r="B116" s="1098"/>
      <c r="C116" s="1100"/>
      <c r="D116" s="1100"/>
      <c r="E116" s="1100"/>
      <c r="F116" s="1100"/>
      <c r="G116" s="1100"/>
      <c r="H116" s="1113">
        <f t="shared" ref="H116:S116" ca="1" si="49">OFFSET(H$76,MATCH($C115,$N$101:$N$107,0)*3-2,0)</f>
        <v>5.5266169313149496E-2</v>
      </c>
      <c r="I116" s="1113">
        <f t="shared" ca="1" si="49"/>
        <v>7.7619458215004659E-3</v>
      </c>
      <c r="J116" s="1113">
        <f t="shared" ca="1" si="49"/>
        <v>1.5536583069130654E-2</v>
      </c>
      <c r="K116" s="1113">
        <f t="shared" ca="1" si="49"/>
        <v>4.4939791076757435E-4</v>
      </c>
      <c r="L116" s="1113">
        <f t="shared" ca="1" si="49"/>
        <v>5.9924728859570725E-4</v>
      </c>
      <c r="M116" s="1113">
        <f t="shared" ca="1" si="49"/>
        <v>6.0570412267480507E-2</v>
      </c>
      <c r="N116" s="1113">
        <f t="shared" ca="1" si="49"/>
        <v>0.98075985730345538</v>
      </c>
      <c r="O116" s="1113">
        <f t="shared" ca="1" si="49"/>
        <v>0</v>
      </c>
      <c r="P116" s="1113">
        <f t="shared" ca="1" si="49"/>
        <v>9.7719295943352394E-2</v>
      </c>
      <c r="Q116" s="1113">
        <f t="shared" ca="1" si="49"/>
        <v>3.6306116293509466E-2</v>
      </c>
      <c r="R116" s="1113">
        <f t="shared" ca="1" si="49"/>
        <v>7.2655945452964809E-3</v>
      </c>
      <c r="S116" s="1113">
        <f t="shared" ca="1" si="49"/>
        <v>1.6309535777419199E-3</v>
      </c>
      <c r="T116" s="1096"/>
      <c r="U116" s="1096"/>
      <c r="V116" s="1096"/>
      <c r="W116" s="1096"/>
      <c r="X116" s="1096"/>
      <c r="Y116" s="1096"/>
      <c r="Z116" s="1096"/>
      <c r="AA116" s="1096"/>
      <c r="AB116" s="1096"/>
      <c r="AC116" s="1096"/>
      <c r="AD116" s="1096"/>
      <c r="AE116" s="1096"/>
      <c r="AF116" s="1096"/>
      <c r="AG116" s="1096"/>
      <c r="AH116" s="1096"/>
      <c r="AI116" s="1096"/>
      <c r="AJ116" s="1096"/>
      <c r="AK116" s="1096"/>
      <c r="AL116" s="1096"/>
      <c r="AM116" s="1096"/>
      <c r="AN116" s="1096"/>
      <c r="AO116" s="1096"/>
      <c r="AP116" s="1096"/>
      <c r="AQ116" s="1096"/>
      <c r="AR116" s="1096"/>
      <c r="AS116" s="1096"/>
      <c r="AT116" s="1096"/>
      <c r="AU116" s="1096"/>
      <c r="AV116" s="1096"/>
      <c r="AW116" s="1096"/>
      <c r="AX116" s="1096"/>
      <c r="AY116" s="1096"/>
      <c r="AZ116" s="1096"/>
      <c r="BA116" s="1096"/>
      <c r="BB116" s="1096"/>
      <c r="BC116" s="1096"/>
      <c r="BD116" s="1096"/>
      <c r="BE116" s="1096"/>
      <c r="BF116" s="1096"/>
      <c r="BG116" s="1096"/>
      <c r="BH116" s="1096"/>
      <c r="BI116" s="1096"/>
      <c r="BJ116" s="1096"/>
      <c r="BK116" s="1096"/>
      <c r="BL116" s="1096"/>
      <c r="BM116" s="1096"/>
      <c r="BN116" s="1096"/>
      <c r="BO116" s="1096"/>
      <c r="BP116" s="1096"/>
      <c r="BQ116" s="1096"/>
      <c r="BR116" s="1096"/>
      <c r="BS116" s="1096"/>
      <c r="BT116" s="1096"/>
      <c r="BU116" s="1096"/>
    </row>
    <row r="117" spans="1:73" ht="13" x14ac:dyDescent="0.3">
      <c r="A117" s="1096"/>
      <c r="B117" s="1098"/>
      <c r="C117" s="1120">
        <v>1</v>
      </c>
      <c r="D117" s="1100" t="str">
        <f t="shared" ref="D117:G117" ca="1" si="50">OFFSET(D$76,MATCH($C117,$N$101:$N$107,0)*3,0)</f>
        <v>Feedstock Consumption (% of baseline) = 105%</v>
      </c>
      <c r="E117" s="1113">
        <f t="shared" ca="1" si="50"/>
        <v>1.3683985419349336</v>
      </c>
      <c r="F117" s="1113">
        <f t="shared" ca="1" si="50"/>
        <v>0</v>
      </c>
      <c r="G117" s="1113">
        <f t="shared" ca="1" si="50"/>
        <v>6.0102079727676302E-4</v>
      </c>
      <c r="H117" s="1100"/>
      <c r="I117" s="1100"/>
      <c r="J117" s="1100"/>
      <c r="K117" s="1100"/>
      <c r="L117" s="1100"/>
      <c r="M117" s="1100"/>
      <c r="N117" s="1100"/>
      <c r="O117" s="1100"/>
      <c r="P117" s="1100"/>
      <c r="Q117" s="1100"/>
      <c r="R117" s="1100"/>
      <c r="S117" s="1100"/>
      <c r="T117" s="1096"/>
      <c r="U117" s="1096"/>
      <c r="V117" s="1096"/>
      <c r="W117" s="1096"/>
      <c r="X117" s="1096"/>
      <c r="Y117" s="1096"/>
      <c r="Z117" s="1096"/>
      <c r="AA117" s="1096"/>
      <c r="AB117" s="1096"/>
      <c r="AC117" s="1096"/>
      <c r="AD117" s="1096"/>
      <c r="AE117" s="1096"/>
      <c r="AF117" s="1096"/>
      <c r="AG117" s="1096"/>
      <c r="AH117" s="1096"/>
      <c r="AI117" s="1096"/>
      <c r="AJ117" s="1096"/>
      <c r="AK117" s="1096"/>
      <c r="AL117" s="1096"/>
      <c r="AM117" s="1096"/>
      <c r="AN117" s="1096"/>
      <c r="AO117" s="1096"/>
      <c r="AP117" s="1096"/>
      <c r="AQ117" s="1096"/>
      <c r="AR117" s="1096"/>
      <c r="AS117" s="1096"/>
      <c r="AT117" s="1096"/>
      <c r="AU117" s="1096"/>
      <c r="AV117" s="1096"/>
      <c r="AW117" s="1096"/>
      <c r="AX117" s="1096"/>
      <c r="AY117" s="1096"/>
      <c r="AZ117" s="1096"/>
      <c r="BA117" s="1096"/>
      <c r="BB117" s="1096"/>
      <c r="BC117" s="1096"/>
      <c r="BD117" s="1096"/>
      <c r="BE117" s="1096"/>
      <c r="BF117" s="1096"/>
      <c r="BG117" s="1096"/>
      <c r="BH117" s="1096"/>
      <c r="BI117" s="1096"/>
      <c r="BJ117" s="1096"/>
      <c r="BK117" s="1096"/>
      <c r="BL117" s="1096"/>
      <c r="BM117" s="1096"/>
      <c r="BN117" s="1096"/>
      <c r="BO117" s="1096"/>
      <c r="BP117" s="1096"/>
      <c r="BQ117" s="1096"/>
      <c r="BR117" s="1096"/>
      <c r="BS117" s="1096"/>
      <c r="BT117" s="1096"/>
      <c r="BU117" s="1096"/>
    </row>
    <row r="118" spans="1:73" ht="13" x14ac:dyDescent="0.3">
      <c r="A118" s="1096"/>
      <c r="B118" s="1098"/>
      <c r="C118" s="1120"/>
      <c r="D118" s="1100"/>
      <c r="E118" s="1113"/>
      <c r="F118" s="1113"/>
      <c r="G118" s="1113"/>
      <c r="H118" s="1113">
        <f t="shared" ref="H118:S118" ca="1" si="51">OFFSET(H$76,MATCH($C117,$N$101:$N$107,0)*3,0)</f>
        <v>5.5266169313149496E-2</v>
      </c>
      <c r="I118" s="1113">
        <f t="shared" ca="1" si="51"/>
        <v>7.7619458215004659E-3</v>
      </c>
      <c r="J118" s="1113">
        <f t="shared" ca="1" si="51"/>
        <v>1.694463411903983E-2</v>
      </c>
      <c r="K118" s="1113">
        <f t="shared" ca="1" si="51"/>
        <v>4.4939791076757435E-4</v>
      </c>
      <c r="L118" s="1113">
        <f t="shared" ca="1" si="51"/>
        <v>5.9924728859570725E-4</v>
      </c>
      <c r="M118" s="1113">
        <f t="shared" ca="1" si="51"/>
        <v>6.0570412267480507E-2</v>
      </c>
      <c r="N118" s="1113">
        <f t="shared" ca="1" si="51"/>
        <v>1.083997737019609</v>
      </c>
      <c r="O118" s="1113">
        <f t="shared" ca="1" si="51"/>
        <v>0</v>
      </c>
      <c r="P118" s="1113">
        <f t="shared" ca="1" si="51"/>
        <v>9.7719295943352394E-2</v>
      </c>
      <c r="Q118" s="1113">
        <f t="shared" ca="1" si="51"/>
        <v>3.6306116293509466E-2</v>
      </c>
      <c r="R118" s="1113">
        <f t="shared" ca="1" si="51"/>
        <v>7.7536531774629099E-3</v>
      </c>
      <c r="S118" s="1113">
        <f t="shared" ca="1" si="51"/>
        <v>1.6309535777419199E-3</v>
      </c>
      <c r="T118" s="1096"/>
      <c r="U118" s="1096"/>
      <c r="V118" s="1096"/>
      <c r="W118" s="1096"/>
      <c r="X118" s="1096"/>
      <c r="Y118" s="1096"/>
      <c r="Z118" s="1096"/>
      <c r="AA118" s="1096"/>
      <c r="AB118" s="1096"/>
      <c r="AC118" s="1096"/>
      <c r="AD118" s="1096"/>
      <c r="AE118" s="1096"/>
      <c r="AF118" s="1096"/>
      <c r="AG118" s="1096"/>
      <c r="AH118" s="1096"/>
      <c r="AI118" s="1096"/>
      <c r="AJ118" s="1096"/>
      <c r="AK118" s="1096"/>
      <c r="AL118" s="1096"/>
      <c r="AM118" s="1096"/>
      <c r="AN118" s="1096"/>
      <c r="AO118" s="1096"/>
      <c r="AP118" s="1096"/>
      <c r="AQ118" s="1096"/>
      <c r="AR118" s="1096"/>
      <c r="AS118" s="1096"/>
      <c r="AT118" s="1096"/>
      <c r="AU118" s="1096"/>
      <c r="AV118" s="1096"/>
      <c r="AW118" s="1096"/>
      <c r="AX118" s="1096"/>
      <c r="AY118" s="1096"/>
      <c r="AZ118" s="1096"/>
      <c r="BA118" s="1096"/>
      <c r="BB118" s="1096"/>
      <c r="BC118" s="1096"/>
      <c r="BD118" s="1096"/>
      <c r="BE118" s="1096"/>
      <c r="BF118" s="1096"/>
      <c r="BG118" s="1096"/>
      <c r="BH118" s="1096"/>
      <c r="BI118" s="1096"/>
      <c r="BJ118" s="1096"/>
      <c r="BK118" s="1096"/>
      <c r="BL118" s="1096"/>
      <c r="BM118" s="1096"/>
      <c r="BN118" s="1096"/>
      <c r="BO118" s="1096"/>
      <c r="BP118" s="1096"/>
      <c r="BQ118" s="1096"/>
      <c r="BR118" s="1096"/>
      <c r="BS118" s="1096"/>
      <c r="BT118" s="1096"/>
      <c r="BU118" s="1096"/>
    </row>
    <row r="119" spans="1:73" ht="13" x14ac:dyDescent="0.3">
      <c r="A119" s="1096"/>
      <c r="B119" s="1098"/>
      <c r="C119" s="1120"/>
      <c r="D119" s="1100"/>
      <c r="E119" s="1113"/>
      <c r="F119" s="1113"/>
      <c r="G119" s="1113"/>
      <c r="H119" s="1113"/>
      <c r="I119" s="1113"/>
      <c r="J119" s="1113"/>
      <c r="K119" s="1113"/>
      <c r="L119" s="1113"/>
      <c r="M119" s="1113"/>
      <c r="N119" s="1113"/>
      <c r="O119" s="1113"/>
      <c r="P119" s="1113"/>
      <c r="Q119" s="1113"/>
      <c r="R119" s="1113"/>
      <c r="S119" s="1113"/>
      <c r="T119" s="1096"/>
      <c r="U119" s="1096"/>
      <c r="V119" s="1096"/>
      <c r="W119" s="1096"/>
      <c r="X119" s="1096"/>
      <c r="Y119" s="1096"/>
      <c r="Z119" s="1096"/>
      <c r="AA119" s="1096"/>
      <c r="AB119" s="1096"/>
      <c r="AC119" s="1096"/>
      <c r="AD119" s="1096"/>
      <c r="AE119" s="1096"/>
      <c r="AF119" s="1096"/>
      <c r="AG119" s="1096"/>
      <c r="AH119" s="1096"/>
      <c r="AI119" s="1096"/>
      <c r="AJ119" s="1096"/>
      <c r="AK119" s="1096"/>
      <c r="AL119" s="1096"/>
      <c r="AM119" s="1096"/>
      <c r="AN119" s="1096"/>
      <c r="AO119" s="1096"/>
      <c r="AP119" s="1096"/>
      <c r="AQ119" s="1096"/>
      <c r="AR119" s="1096"/>
      <c r="AS119" s="1096"/>
      <c r="AT119" s="1096"/>
      <c r="AU119" s="1096"/>
      <c r="AV119" s="1096"/>
      <c r="AW119" s="1096"/>
      <c r="AX119" s="1096"/>
      <c r="AY119" s="1096"/>
      <c r="AZ119" s="1096"/>
      <c r="BA119" s="1096"/>
      <c r="BB119" s="1096"/>
      <c r="BC119" s="1096"/>
      <c r="BD119" s="1096"/>
      <c r="BE119" s="1096"/>
      <c r="BF119" s="1096"/>
      <c r="BG119" s="1096"/>
      <c r="BH119" s="1096"/>
      <c r="BI119" s="1096"/>
      <c r="BJ119" s="1096"/>
      <c r="BK119" s="1096"/>
      <c r="BL119" s="1096"/>
      <c r="BM119" s="1096"/>
      <c r="BN119" s="1096"/>
      <c r="BO119" s="1096"/>
      <c r="BP119" s="1096"/>
      <c r="BQ119" s="1096"/>
      <c r="BR119" s="1096"/>
      <c r="BS119" s="1096"/>
      <c r="BT119" s="1096"/>
      <c r="BU119" s="1096"/>
    </row>
    <row r="120" spans="1:73" x14ac:dyDescent="0.25">
      <c r="A120" s="1096"/>
      <c r="B120" s="1096"/>
      <c r="C120" s="1120">
        <v>2</v>
      </c>
      <c r="D120" s="1100" t="str">
        <f t="shared" ref="D120:G120" ca="1" si="52">OFFSET(D$76,MATCH($C120,$N$101:$N$107,0)*3-2,0)</f>
        <v>Operating Capacity Factor = 94.5%</v>
      </c>
      <c r="E120" s="1113">
        <f t="shared" ca="1" si="52"/>
        <v>1.3067736916690487</v>
      </c>
      <c r="F120" s="1113">
        <f t="shared" ca="1" si="52"/>
        <v>0</v>
      </c>
      <c r="G120" s="1113">
        <f t="shared" ca="1" si="52"/>
        <v>5.7240075931120292E-4</v>
      </c>
      <c r="H120" s="1113"/>
      <c r="I120" s="1113"/>
      <c r="J120" s="1113"/>
      <c r="K120" s="1113"/>
      <c r="L120" s="1113"/>
      <c r="M120" s="1113"/>
      <c r="N120" s="1113"/>
      <c r="O120" s="1113"/>
      <c r="P120" s="1113"/>
      <c r="Q120" s="1113"/>
      <c r="R120" s="1113"/>
      <c r="S120" s="1113"/>
      <c r="T120" s="1096"/>
      <c r="U120" s="1096"/>
      <c r="V120" s="1096"/>
      <c r="W120" s="1096"/>
      <c r="X120" s="1096"/>
      <c r="Y120" s="1096"/>
      <c r="Z120" s="1096"/>
      <c r="AA120" s="1096"/>
      <c r="AB120" s="1096"/>
      <c r="AC120" s="1096"/>
      <c r="AD120" s="1096"/>
      <c r="AE120" s="1096"/>
      <c r="AF120" s="1096"/>
      <c r="AG120" s="1096"/>
      <c r="AH120" s="1096"/>
      <c r="AI120" s="1096"/>
      <c r="AJ120" s="1096"/>
      <c r="AK120" s="1096"/>
      <c r="AL120" s="1096"/>
      <c r="AM120" s="1096"/>
      <c r="AN120" s="1096"/>
      <c r="AO120" s="1096"/>
      <c r="AP120" s="1096"/>
      <c r="AQ120" s="1096"/>
      <c r="AR120" s="1096"/>
      <c r="AS120" s="1096"/>
      <c r="AT120" s="1096"/>
      <c r="AU120" s="1096"/>
      <c r="AV120" s="1096"/>
      <c r="AW120" s="1096"/>
      <c r="AX120" s="1096"/>
      <c r="AY120" s="1096"/>
      <c r="AZ120" s="1096"/>
      <c r="BA120" s="1096"/>
      <c r="BB120" s="1096"/>
      <c r="BC120" s="1096"/>
      <c r="BD120" s="1096"/>
      <c r="BE120" s="1096"/>
      <c r="BF120" s="1096"/>
      <c r="BG120" s="1096"/>
      <c r="BH120" s="1096"/>
      <c r="BI120" s="1096"/>
      <c r="BJ120" s="1096"/>
      <c r="BK120" s="1096"/>
      <c r="BL120" s="1096"/>
      <c r="BM120" s="1096"/>
      <c r="BN120" s="1096"/>
      <c r="BO120" s="1096"/>
      <c r="BP120" s="1096"/>
      <c r="BQ120" s="1096"/>
      <c r="BR120" s="1096"/>
      <c r="BS120" s="1096"/>
      <c r="BT120" s="1096"/>
      <c r="BU120" s="1096"/>
    </row>
    <row r="121" spans="1:73" x14ac:dyDescent="0.25">
      <c r="A121" s="1096"/>
      <c r="B121" s="1096"/>
      <c r="C121" s="1120"/>
      <c r="D121" s="1100"/>
      <c r="E121" s="1113"/>
      <c r="F121" s="1113"/>
      <c r="G121" s="1113"/>
      <c r="H121" s="1113">
        <f t="shared" ref="H121:S121" ca="1" si="53">OFFSET(H$76,MATCH($C120,$N$101:$N$107,0)*3-2,0)</f>
        <v>5.2634446964904276E-2</v>
      </c>
      <c r="I121" s="1113">
        <f t="shared" ca="1" si="53"/>
        <v>7.3923293538099679E-3</v>
      </c>
      <c r="J121" s="1113">
        <f t="shared" ca="1" si="53"/>
        <v>1.6185141701957721E-2</v>
      </c>
      <c r="K121" s="1113">
        <f t="shared" ca="1" si="53"/>
        <v>4.2799801025483265E-4</v>
      </c>
      <c r="L121" s="1113">
        <f t="shared" ca="1" si="53"/>
        <v>5.7071170342448305E-4</v>
      </c>
      <c r="M121" s="1113">
        <f t="shared" ca="1" si="53"/>
        <v>5.7686106921410005E-2</v>
      </c>
      <c r="N121" s="1113">
        <f t="shared" ca="1" si="53"/>
        <v>1.0323787971615324</v>
      </c>
      <c r="O121" s="1113">
        <f t="shared" ca="1" si="53"/>
        <v>0</v>
      </c>
      <c r="P121" s="1113">
        <f t="shared" ca="1" si="53"/>
        <v>9.6539158251886595E-2</v>
      </c>
      <c r="Q121" s="1113">
        <f t="shared" ca="1" si="53"/>
        <v>3.4577253612866149E-2</v>
      </c>
      <c r="R121" s="1113">
        <f t="shared" ca="1" si="53"/>
        <v>7.4008596246535564E-3</v>
      </c>
      <c r="S121" s="1113">
        <f t="shared" ca="1" si="53"/>
        <v>1.5532891216589713E-3</v>
      </c>
      <c r="T121" s="1096"/>
      <c r="U121" s="1096"/>
      <c r="V121" s="1096"/>
      <c r="W121" s="1096"/>
      <c r="X121" s="1096"/>
      <c r="Y121" s="1096"/>
      <c r="Z121" s="1096"/>
      <c r="AA121" s="1096"/>
      <c r="AB121" s="1096"/>
      <c r="AC121" s="1096"/>
      <c r="AD121" s="1096"/>
      <c r="AE121" s="1096"/>
      <c r="AF121" s="1096"/>
      <c r="AG121" s="1096"/>
      <c r="AH121" s="1096"/>
      <c r="AI121" s="1096"/>
      <c r="AJ121" s="1096"/>
      <c r="AK121" s="1096"/>
      <c r="AL121" s="1096"/>
      <c r="AM121" s="1096"/>
      <c r="AN121" s="1096"/>
      <c r="AO121" s="1096"/>
      <c r="AP121" s="1096"/>
      <c r="AQ121" s="1096"/>
      <c r="AR121" s="1096"/>
      <c r="AS121" s="1096"/>
      <c r="AT121" s="1096"/>
      <c r="AU121" s="1096"/>
      <c r="AV121" s="1096"/>
      <c r="AW121" s="1096"/>
      <c r="AX121" s="1096"/>
      <c r="AY121" s="1096"/>
      <c r="AZ121" s="1096"/>
      <c r="BA121" s="1096"/>
      <c r="BB121" s="1096"/>
      <c r="BC121" s="1096"/>
      <c r="BD121" s="1096"/>
      <c r="BE121" s="1096"/>
      <c r="BF121" s="1096"/>
      <c r="BG121" s="1096"/>
      <c r="BH121" s="1096"/>
      <c r="BI121" s="1096"/>
      <c r="BJ121" s="1096"/>
      <c r="BK121" s="1096"/>
      <c r="BL121" s="1096"/>
      <c r="BM121" s="1096"/>
      <c r="BN121" s="1096"/>
      <c r="BO121" s="1096"/>
      <c r="BP121" s="1096"/>
      <c r="BQ121" s="1096"/>
      <c r="BR121" s="1096"/>
      <c r="BS121" s="1096"/>
      <c r="BT121" s="1096"/>
      <c r="BU121" s="1096"/>
    </row>
    <row r="122" spans="1:73" x14ac:dyDescent="0.25">
      <c r="A122" s="1096"/>
      <c r="B122" s="1096"/>
      <c r="C122" s="1120">
        <v>2</v>
      </c>
      <c r="D122" s="1100" t="str">
        <f t="shared" ref="D122:G122" ca="1" si="54">OFFSET(D$76,MATCH($C122,$N$101:$N$107,0)*3,0)</f>
        <v>Operating Capacity Factor = 85.5%</v>
      </c>
      <c r="E122" s="1113">
        <f t="shared" ca="1" si="54"/>
        <v>1.3258428612833015</v>
      </c>
      <c r="F122" s="1113">
        <f t="shared" ca="1" si="54"/>
        <v>0</v>
      </c>
      <c r="G122" s="1113">
        <f t="shared" ca="1" si="54"/>
        <v>6.3265347081764524E-4</v>
      </c>
      <c r="H122" s="1113"/>
      <c r="I122" s="1113"/>
      <c r="J122" s="1113"/>
      <c r="K122" s="1113"/>
      <c r="L122" s="1113"/>
      <c r="M122" s="1113"/>
      <c r="N122" s="1113"/>
      <c r="O122" s="1113"/>
      <c r="P122" s="1113"/>
      <c r="Q122" s="1113"/>
      <c r="R122" s="1113"/>
      <c r="S122" s="1113"/>
      <c r="T122" s="1096"/>
      <c r="U122" s="1096"/>
      <c r="V122" s="1096"/>
      <c r="W122" s="1096"/>
      <c r="X122" s="1096"/>
      <c r="Y122" s="1096"/>
      <c r="Z122" s="1096"/>
      <c r="AA122" s="1096"/>
      <c r="AB122" s="1096"/>
      <c r="AC122" s="1096"/>
      <c r="AD122" s="1096"/>
      <c r="AE122" s="1096"/>
      <c r="AF122" s="1096"/>
      <c r="AG122" s="1096"/>
      <c r="AH122" s="1096"/>
      <c r="AI122" s="1096"/>
      <c r="AJ122" s="1096"/>
      <c r="AK122" s="1096"/>
      <c r="AL122" s="1096"/>
      <c r="AM122" s="1096"/>
      <c r="AN122" s="1096"/>
      <c r="AO122" s="1096"/>
      <c r="AP122" s="1096"/>
      <c r="AQ122" s="1096"/>
      <c r="AR122" s="1096"/>
      <c r="AS122" s="1096"/>
      <c r="AT122" s="1096"/>
      <c r="AU122" s="1096"/>
      <c r="AV122" s="1096"/>
      <c r="AW122" s="1096"/>
      <c r="AX122" s="1096"/>
      <c r="AY122" s="1096"/>
      <c r="AZ122" s="1096"/>
      <c r="BA122" s="1096"/>
      <c r="BB122" s="1096"/>
      <c r="BC122" s="1096"/>
      <c r="BD122" s="1096"/>
      <c r="BE122" s="1096"/>
      <c r="BF122" s="1096"/>
      <c r="BG122" s="1096"/>
      <c r="BH122" s="1096"/>
      <c r="BI122" s="1096"/>
      <c r="BJ122" s="1096"/>
      <c r="BK122" s="1096"/>
      <c r="BL122" s="1096"/>
      <c r="BM122" s="1096"/>
      <c r="BN122" s="1096"/>
      <c r="BO122" s="1096"/>
      <c r="BP122" s="1096"/>
      <c r="BQ122" s="1096"/>
      <c r="BR122" s="1096"/>
      <c r="BS122" s="1096"/>
      <c r="BT122" s="1096"/>
      <c r="BU122" s="1096"/>
    </row>
    <row r="123" spans="1:73" x14ac:dyDescent="0.25">
      <c r="A123" s="1096"/>
      <c r="B123" s="1096"/>
      <c r="C123" s="1120"/>
      <c r="D123" s="1100"/>
      <c r="E123" s="1113"/>
      <c r="F123" s="1113"/>
      <c r="G123" s="1113"/>
      <c r="H123" s="1113">
        <f t="shared" ref="H123:S123" ca="1" si="55">OFFSET(H$76,MATCH($C122,$N$101:$N$107,0)*3,0)</f>
        <v>5.817491506647314E-2</v>
      </c>
      <c r="I123" s="1113">
        <f t="shared" ca="1" si="55"/>
        <v>8.1704692857899625E-3</v>
      </c>
      <c r="J123" s="1113">
        <f t="shared" ca="1" si="55"/>
        <v>1.6301914106436721E-2</v>
      </c>
      <c r="K123" s="1113">
        <f t="shared" ca="1" si="55"/>
        <v>4.7305043238692035E-4</v>
      </c>
      <c r="L123" s="1113">
        <f t="shared" ca="1" si="55"/>
        <v>6.307866195744287E-4</v>
      </c>
      <c r="M123" s="1113">
        <f t="shared" ca="1" si="55"/>
        <v>6.375832870261107E-2</v>
      </c>
      <c r="N123" s="1113">
        <f t="shared" ca="1" si="55"/>
        <v>1.0323787971615319</v>
      </c>
      <c r="O123" s="1113">
        <f t="shared" ca="1" si="55"/>
        <v>0</v>
      </c>
      <c r="P123" s="1113">
        <f t="shared" ca="1" si="55"/>
        <v>9.902365865497248E-2</v>
      </c>
      <c r="Q123" s="1113">
        <f t="shared" ca="1" si="55"/>
        <v>3.8216964519483636E-2</v>
      </c>
      <c r="R123" s="1113">
        <f t="shared" ca="1" si="55"/>
        <v>7.6298369651294946E-3</v>
      </c>
      <c r="S123" s="1113">
        <f t="shared" ca="1" si="55"/>
        <v>1.7167932397283365E-3</v>
      </c>
      <c r="T123" s="1096"/>
      <c r="U123" s="1096"/>
      <c r="V123" s="1096"/>
      <c r="W123" s="1096"/>
      <c r="X123" s="1096"/>
      <c r="Y123" s="1096"/>
      <c r="Z123" s="1096"/>
      <c r="AA123" s="1096"/>
      <c r="AB123" s="1096"/>
      <c r="AC123" s="1096"/>
      <c r="AD123" s="1096"/>
      <c r="AE123" s="1096"/>
      <c r="AF123" s="1096"/>
      <c r="AG123" s="1096"/>
      <c r="AH123" s="1096"/>
      <c r="AI123" s="1096"/>
      <c r="AJ123" s="1096"/>
      <c r="AK123" s="1096"/>
      <c r="AL123" s="1096"/>
      <c r="AM123" s="1096"/>
      <c r="AN123" s="1096"/>
      <c r="AO123" s="1096"/>
      <c r="AP123" s="1096"/>
      <c r="AQ123" s="1096"/>
      <c r="AR123" s="1096"/>
      <c r="AS123" s="1096"/>
      <c r="AT123" s="1096"/>
      <c r="AU123" s="1096"/>
      <c r="AV123" s="1096"/>
      <c r="AW123" s="1096"/>
      <c r="AX123" s="1096"/>
      <c r="AY123" s="1096"/>
      <c r="AZ123" s="1096"/>
      <c r="BA123" s="1096"/>
      <c r="BB123" s="1096"/>
      <c r="BC123" s="1096"/>
      <c r="BD123" s="1096"/>
      <c r="BE123" s="1096"/>
      <c r="BF123" s="1096"/>
      <c r="BG123" s="1096"/>
      <c r="BH123" s="1096"/>
      <c r="BI123" s="1096"/>
      <c r="BJ123" s="1096"/>
      <c r="BK123" s="1096"/>
      <c r="BL123" s="1096"/>
      <c r="BM123" s="1096"/>
      <c r="BN123" s="1096"/>
      <c r="BO123" s="1096"/>
      <c r="BP123" s="1096"/>
      <c r="BQ123" s="1096"/>
      <c r="BR123" s="1096"/>
      <c r="BS123" s="1096"/>
      <c r="BT123" s="1096"/>
      <c r="BU123" s="1096"/>
    </row>
    <row r="124" spans="1:73" x14ac:dyDescent="0.25">
      <c r="A124" s="1096"/>
      <c r="B124" s="1096"/>
      <c r="C124" s="1120"/>
      <c r="D124" s="1100"/>
      <c r="E124" s="1113"/>
      <c r="F124" s="1113"/>
      <c r="G124" s="1113"/>
      <c r="H124" s="1113"/>
      <c r="I124" s="1113"/>
      <c r="J124" s="1113"/>
      <c r="K124" s="1113"/>
      <c r="L124" s="1113"/>
      <c r="M124" s="1113"/>
      <c r="N124" s="1113"/>
      <c r="O124" s="1113"/>
      <c r="P124" s="1113"/>
      <c r="Q124" s="1113"/>
      <c r="R124" s="1113"/>
      <c r="S124" s="1113"/>
      <c r="T124" s="1096"/>
      <c r="U124" s="1096"/>
      <c r="V124" s="1096"/>
      <c r="W124" s="1096"/>
      <c r="X124" s="1096"/>
      <c r="Y124" s="1096"/>
      <c r="Z124" s="1096"/>
      <c r="AA124" s="1096"/>
      <c r="AB124" s="1096"/>
      <c r="AC124" s="1096"/>
      <c r="AD124" s="1096"/>
      <c r="AE124" s="1096"/>
      <c r="AF124" s="1096"/>
      <c r="AG124" s="1096"/>
      <c r="AH124" s="1096"/>
      <c r="AI124" s="1096"/>
      <c r="AJ124" s="1096"/>
      <c r="AK124" s="1096"/>
      <c r="AL124" s="1096"/>
      <c r="AM124" s="1096"/>
      <c r="AN124" s="1096"/>
      <c r="AO124" s="1096"/>
      <c r="AP124" s="1096"/>
      <c r="AQ124" s="1096"/>
      <c r="AR124" s="1096"/>
      <c r="AS124" s="1096"/>
      <c r="AT124" s="1096"/>
      <c r="AU124" s="1096"/>
      <c r="AV124" s="1096"/>
      <c r="AW124" s="1096"/>
      <c r="AX124" s="1096"/>
      <c r="AY124" s="1096"/>
      <c r="AZ124" s="1096"/>
      <c r="BA124" s="1096"/>
      <c r="BB124" s="1096"/>
      <c r="BC124" s="1096"/>
      <c r="BD124" s="1096"/>
      <c r="BE124" s="1096"/>
      <c r="BF124" s="1096"/>
      <c r="BG124" s="1096"/>
      <c r="BH124" s="1096"/>
      <c r="BI124" s="1096"/>
      <c r="BJ124" s="1096"/>
      <c r="BK124" s="1096"/>
      <c r="BL124" s="1096"/>
      <c r="BM124" s="1096"/>
      <c r="BN124" s="1096"/>
      <c r="BO124" s="1096"/>
      <c r="BP124" s="1096"/>
      <c r="BQ124" s="1096"/>
      <c r="BR124" s="1096"/>
      <c r="BS124" s="1096"/>
      <c r="BT124" s="1096"/>
      <c r="BU124" s="1096"/>
    </row>
    <row r="125" spans="1:73" x14ac:dyDescent="0.25">
      <c r="A125" s="1096"/>
      <c r="B125" s="1096"/>
      <c r="C125" s="1120">
        <v>3</v>
      </c>
      <c r="D125" s="1100" t="str">
        <f t="shared" ref="D125:G125" ca="1" si="56">OFFSET(D$76,MATCH($C125,$N$101:$N$107,0)*3-2,0)</f>
        <v>Total Capital Investment = $177,186K</v>
      </c>
      <c r="E125" s="1113">
        <f t="shared" ca="1" si="56"/>
        <v>1.3095838188313211</v>
      </c>
      <c r="F125" s="1113">
        <f t="shared" ca="1" si="56"/>
        <v>0</v>
      </c>
      <c r="G125" s="1113">
        <f t="shared" ca="1" si="56"/>
        <v>5.7096975741292497E-4</v>
      </c>
      <c r="H125" s="1113"/>
      <c r="I125" s="1113"/>
      <c r="J125" s="1113"/>
      <c r="K125" s="1113"/>
      <c r="L125" s="1113"/>
      <c r="M125" s="1113"/>
      <c r="N125" s="1113"/>
      <c r="O125" s="1113"/>
      <c r="P125" s="1113"/>
      <c r="Q125" s="1113"/>
      <c r="R125" s="1113"/>
      <c r="S125" s="1113"/>
      <c r="T125" s="1096"/>
      <c r="U125" s="1096"/>
      <c r="V125" s="1096"/>
      <c r="W125" s="1096"/>
      <c r="X125" s="1096"/>
      <c r="Y125" s="1096"/>
      <c r="Z125" s="1096"/>
      <c r="AA125" s="1096"/>
      <c r="AB125" s="1096"/>
      <c r="AC125" s="1096"/>
      <c r="AD125" s="1096"/>
      <c r="AE125" s="1096"/>
      <c r="AF125" s="1096"/>
      <c r="AG125" s="1096"/>
      <c r="AH125" s="1096"/>
      <c r="AI125" s="1096"/>
      <c r="AJ125" s="1096"/>
      <c r="AK125" s="1096"/>
      <c r="AL125" s="1096"/>
      <c r="AM125" s="1096"/>
      <c r="AN125" s="1096"/>
      <c r="AO125" s="1096"/>
      <c r="AP125" s="1096"/>
      <c r="AQ125" s="1096"/>
      <c r="AR125" s="1096"/>
      <c r="AS125" s="1096"/>
      <c r="AT125" s="1096"/>
      <c r="AU125" s="1096"/>
      <c r="AV125" s="1096"/>
      <c r="AW125" s="1096"/>
      <c r="AX125" s="1096"/>
      <c r="AY125" s="1096"/>
      <c r="AZ125" s="1096"/>
      <c r="BA125" s="1096"/>
      <c r="BB125" s="1096"/>
      <c r="BC125" s="1096"/>
      <c r="BD125" s="1096"/>
      <c r="BE125" s="1096"/>
      <c r="BF125" s="1096"/>
      <c r="BG125" s="1096"/>
      <c r="BH125" s="1096"/>
      <c r="BI125" s="1096"/>
      <c r="BJ125" s="1096"/>
      <c r="BK125" s="1096"/>
      <c r="BL125" s="1096"/>
      <c r="BM125" s="1096"/>
      <c r="BN125" s="1096"/>
      <c r="BO125" s="1096"/>
      <c r="BP125" s="1096"/>
      <c r="BQ125" s="1096"/>
      <c r="BR125" s="1096"/>
      <c r="BS125" s="1096"/>
      <c r="BT125" s="1096"/>
      <c r="BU125" s="1096"/>
    </row>
    <row r="126" spans="1:73" x14ac:dyDescent="0.25">
      <c r="A126" s="1096"/>
      <c r="B126" s="1096"/>
      <c r="C126" s="1120"/>
      <c r="D126" s="1100"/>
      <c r="E126" s="1113"/>
      <c r="F126" s="1113"/>
      <c r="G126" s="1113"/>
      <c r="H126" s="1113">
        <f t="shared" ref="H126:S126" ca="1" si="57">OFFSET(H$76,MATCH($C125,$N$101:$N$107,0)*3-2,0)</f>
        <v>5.2494682668557308E-2</v>
      </c>
      <c r="I126" s="1113">
        <f t="shared" ca="1" si="57"/>
        <v>7.7619458215004659E-3</v>
      </c>
      <c r="J126" s="1113">
        <f t="shared" ca="1" si="57"/>
        <v>1.6219773121390193E-2</v>
      </c>
      <c r="K126" s="1113">
        <f t="shared" ca="1" si="57"/>
        <v>4.4939791076757435E-4</v>
      </c>
      <c r="L126" s="1113">
        <f t="shared" ca="1" si="57"/>
        <v>5.691962487318692E-4</v>
      </c>
      <c r="M126" s="1113">
        <f t="shared" ca="1" si="57"/>
        <v>5.9043652993958314E-2</v>
      </c>
      <c r="N126" s="1113">
        <f t="shared" ca="1" si="57"/>
        <v>1.0323787971615324</v>
      </c>
      <c r="O126" s="1113">
        <f t="shared" ca="1" si="57"/>
        <v>0</v>
      </c>
      <c r="P126" s="1113">
        <f t="shared" ca="1" si="57"/>
        <v>9.7719295943352394E-2</v>
      </c>
      <c r="Q126" s="1113">
        <f t="shared" ca="1" si="57"/>
        <v>3.4485437971219252E-2</v>
      </c>
      <c r="R126" s="1113">
        <f t="shared" ca="1" si="57"/>
        <v>7.4834441941678135E-3</v>
      </c>
      <c r="S126" s="1113">
        <f t="shared" ca="1" si="57"/>
        <v>1.5491645535551813E-3</v>
      </c>
      <c r="T126" s="1096"/>
      <c r="U126" s="1096"/>
      <c r="V126" s="1096"/>
      <c r="W126" s="1096"/>
      <c r="X126" s="1096"/>
      <c r="Y126" s="1096"/>
      <c r="Z126" s="1096"/>
      <c r="AA126" s="1096"/>
      <c r="AB126" s="1096"/>
      <c r="AC126" s="1096"/>
      <c r="AD126" s="1096"/>
      <c r="AE126" s="1096"/>
      <c r="AF126" s="1096"/>
      <c r="AG126" s="1096"/>
      <c r="AH126" s="1096"/>
      <c r="AI126" s="1096"/>
      <c r="AJ126" s="1096"/>
      <c r="AK126" s="1096"/>
      <c r="AL126" s="1096"/>
      <c r="AM126" s="1096"/>
      <c r="AN126" s="1096"/>
      <c r="AO126" s="1096"/>
      <c r="AP126" s="1096"/>
      <c r="AQ126" s="1096"/>
      <c r="AR126" s="1096"/>
      <c r="AS126" s="1096"/>
      <c r="AT126" s="1096"/>
      <c r="AU126" s="1096"/>
      <c r="AV126" s="1096"/>
      <c r="AW126" s="1096"/>
      <c r="AX126" s="1096"/>
      <c r="AY126" s="1096"/>
      <c r="AZ126" s="1096"/>
      <c r="BA126" s="1096"/>
      <c r="BB126" s="1096"/>
      <c r="BC126" s="1096"/>
      <c r="BD126" s="1096"/>
      <c r="BE126" s="1096"/>
      <c r="BF126" s="1096"/>
      <c r="BG126" s="1096"/>
      <c r="BH126" s="1096"/>
      <c r="BI126" s="1096"/>
      <c r="BJ126" s="1096"/>
      <c r="BK126" s="1096"/>
      <c r="BL126" s="1096"/>
      <c r="BM126" s="1096"/>
      <c r="BN126" s="1096"/>
      <c r="BO126" s="1096"/>
      <c r="BP126" s="1096"/>
      <c r="BQ126" s="1096"/>
      <c r="BR126" s="1096"/>
      <c r="BS126" s="1096"/>
      <c r="BT126" s="1096"/>
      <c r="BU126" s="1096"/>
    </row>
    <row r="127" spans="1:73" x14ac:dyDescent="0.25">
      <c r="A127" s="1096"/>
      <c r="B127" s="1096"/>
      <c r="C127" s="1120">
        <v>3</v>
      </c>
      <c r="D127" s="1100" t="str">
        <f t="shared" ref="D127:G127" ca="1" si="58">OFFSET(D$76,MATCH($C127,$N$101:$N$107,0)*3,0)</f>
        <v>Total Capital Investment = $195,837K</v>
      </c>
      <c r="E127" s="1113">
        <f t="shared" ca="1" si="58"/>
        <v>1.322079275640317</v>
      </c>
      <c r="F127" s="1113">
        <f t="shared" ca="1" si="58"/>
        <v>0</v>
      </c>
      <c r="G127" s="1113">
        <f t="shared" ca="1" si="58"/>
        <v>6.3107183714060096E-4</v>
      </c>
      <c r="H127" s="1113"/>
      <c r="I127" s="1113"/>
      <c r="J127" s="1113"/>
      <c r="K127" s="1113"/>
      <c r="L127" s="1113"/>
      <c r="M127" s="1113"/>
      <c r="N127" s="1113"/>
      <c r="O127" s="1113"/>
      <c r="P127" s="1113"/>
      <c r="Q127" s="1113"/>
      <c r="R127" s="1113"/>
      <c r="S127" s="1113"/>
      <c r="T127" s="1096"/>
      <c r="U127" s="1096"/>
      <c r="V127" s="1096"/>
      <c r="W127" s="1096"/>
      <c r="X127" s="1096"/>
      <c r="Y127" s="1096"/>
      <c r="Z127" s="1096"/>
      <c r="AA127" s="1096"/>
      <c r="AB127" s="1096"/>
      <c r="AC127" s="1096"/>
      <c r="AD127" s="1096"/>
      <c r="AE127" s="1096"/>
      <c r="AF127" s="1096"/>
      <c r="AG127" s="1096"/>
      <c r="AH127" s="1096"/>
      <c r="AI127" s="1096"/>
      <c r="AJ127" s="1096"/>
      <c r="AK127" s="1096"/>
      <c r="AL127" s="1096"/>
      <c r="AM127" s="1096"/>
      <c r="AN127" s="1096"/>
      <c r="AO127" s="1096"/>
      <c r="AP127" s="1096"/>
      <c r="AQ127" s="1096"/>
      <c r="AR127" s="1096"/>
      <c r="AS127" s="1096"/>
      <c r="AT127" s="1096"/>
      <c r="AU127" s="1096"/>
      <c r="AV127" s="1096"/>
      <c r="AW127" s="1096"/>
      <c r="AX127" s="1096"/>
      <c r="AY127" s="1096"/>
      <c r="AZ127" s="1096"/>
      <c r="BA127" s="1096"/>
      <c r="BB127" s="1096"/>
      <c r="BC127" s="1096"/>
      <c r="BD127" s="1096"/>
      <c r="BE127" s="1096"/>
      <c r="BF127" s="1096"/>
      <c r="BG127" s="1096"/>
      <c r="BH127" s="1096"/>
      <c r="BI127" s="1096"/>
      <c r="BJ127" s="1096"/>
      <c r="BK127" s="1096"/>
      <c r="BL127" s="1096"/>
      <c r="BM127" s="1096"/>
      <c r="BN127" s="1096"/>
      <c r="BO127" s="1096"/>
      <c r="BP127" s="1096"/>
      <c r="BQ127" s="1096"/>
      <c r="BR127" s="1096"/>
      <c r="BS127" s="1096"/>
      <c r="BT127" s="1096"/>
      <c r="BU127" s="1096"/>
    </row>
    <row r="128" spans="1:73" x14ac:dyDescent="0.25">
      <c r="A128" s="1096"/>
      <c r="B128" s="1096"/>
      <c r="C128" s="1120"/>
      <c r="D128" s="1100"/>
      <c r="E128" s="1113"/>
      <c r="F128" s="1113"/>
      <c r="G128" s="1113"/>
      <c r="H128" s="1113">
        <f t="shared" ref="H128:S128" ca="1" si="59">OFFSET(H$76,MATCH($C127,$N$101:$N$107,0)*3,0)</f>
        <v>5.8037655957741678E-2</v>
      </c>
      <c r="I128" s="1113">
        <f t="shared" ca="1" si="59"/>
        <v>7.7619458215004659E-3</v>
      </c>
      <c r="J128" s="1113">
        <f t="shared" ca="1" si="59"/>
        <v>1.626144406678029E-2</v>
      </c>
      <c r="K128" s="1113">
        <f t="shared" ca="1" si="59"/>
        <v>4.4939791076757435E-4</v>
      </c>
      <c r="L128" s="1113">
        <f t="shared" ca="1" si="59"/>
        <v>6.2929832845954518E-4</v>
      </c>
      <c r="M128" s="1113">
        <f t="shared" ca="1" si="59"/>
        <v>6.2097171541002687E-2</v>
      </c>
      <c r="N128" s="1113">
        <f t="shared" ca="1" si="59"/>
        <v>1.0323787971615324</v>
      </c>
      <c r="O128" s="1113">
        <f t="shared" ca="1" si="59"/>
        <v>0</v>
      </c>
      <c r="P128" s="1113">
        <f t="shared" ca="1" si="59"/>
        <v>9.7719295943352394E-2</v>
      </c>
      <c r="Q128" s="1113">
        <f t="shared" ca="1" si="59"/>
        <v>3.8126794615799674E-2</v>
      </c>
      <c r="R128" s="1113">
        <f t="shared" ca="1" si="59"/>
        <v>7.5358035285915878E-3</v>
      </c>
      <c r="S128" s="1113">
        <f t="shared" ca="1" si="59"/>
        <v>1.7127426019286583E-3</v>
      </c>
      <c r="T128" s="1096"/>
      <c r="U128" s="1096"/>
      <c r="V128" s="1096"/>
      <c r="W128" s="1096"/>
      <c r="X128" s="1096"/>
      <c r="Y128" s="1096"/>
      <c r="Z128" s="1096"/>
      <c r="AA128" s="1096"/>
      <c r="AB128" s="1096"/>
      <c r="AC128" s="1096"/>
      <c r="AD128" s="1096"/>
      <c r="AE128" s="1096"/>
      <c r="AF128" s="1096"/>
      <c r="AG128" s="1096"/>
      <c r="AH128" s="1096"/>
      <c r="AI128" s="1096"/>
      <c r="AJ128" s="1096"/>
      <c r="AK128" s="1096"/>
      <c r="AL128" s="1096"/>
      <c r="AM128" s="1096"/>
      <c r="AN128" s="1096"/>
      <c r="AO128" s="1096"/>
      <c r="AP128" s="1096"/>
      <c r="AQ128" s="1096"/>
      <c r="AR128" s="1096"/>
      <c r="AS128" s="1096"/>
      <c r="AT128" s="1096"/>
      <c r="AU128" s="1096"/>
      <c r="AV128" s="1096"/>
      <c r="AW128" s="1096"/>
      <c r="AX128" s="1096"/>
      <c r="AY128" s="1096"/>
      <c r="AZ128" s="1096"/>
      <c r="BA128" s="1096"/>
      <c r="BB128" s="1096"/>
      <c r="BC128" s="1096"/>
      <c r="BD128" s="1096"/>
      <c r="BE128" s="1096"/>
      <c r="BF128" s="1096"/>
      <c r="BG128" s="1096"/>
      <c r="BH128" s="1096"/>
      <c r="BI128" s="1096"/>
      <c r="BJ128" s="1096"/>
      <c r="BK128" s="1096"/>
      <c r="BL128" s="1096"/>
      <c r="BM128" s="1096"/>
      <c r="BN128" s="1096"/>
      <c r="BO128" s="1096"/>
      <c r="BP128" s="1096"/>
      <c r="BQ128" s="1096"/>
      <c r="BR128" s="1096"/>
      <c r="BS128" s="1096"/>
      <c r="BT128" s="1096"/>
      <c r="BU128" s="1096"/>
    </row>
    <row r="129" spans="1:73" x14ac:dyDescent="0.25">
      <c r="A129" s="1096"/>
      <c r="B129" s="1096"/>
      <c r="C129" s="1120"/>
      <c r="D129" s="1100"/>
      <c r="E129" s="1113"/>
      <c r="F129" s="1113"/>
      <c r="G129" s="1113"/>
      <c r="H129" s="1113"/>
      <c r="I129" s="1113"/>
      <c r="J129" s="1113"/>
      <c r="K129" s="1113"/>
      <c r="L129" s="1113"/>
      <c r="M129" s="1113"/>
      <c r="N129" s="1113"/>
      <c r="O129" s="1113"/>
      <c r="P129" s="1113"/>
      <c r="Q129" s="1113"/>
      <c r="R129" s="1113"/>
      <c r="S129" s="1113"/>
      <c r="T129" s="1096"/>
      <c r="U129" s="1096"/>
      <c r="V129" s="1096"/>
      <c r="W129" s="1096"/>
      <c r="X129" s="1096"/>
      <c r="Y129" s="1096"/>
      <c r="Z129" s="1096"/>
      <c r="AA129" s="1096"/>
      <c r="AB129" s="1096"/>
      <c r="AC129" s="1096"/>
      <c r="AD129" s="1096"/>
      <c r="AE129" s="1096"/>
      <c r="AF129" s="1096"/>
      <c r="AG129" s="1096"/>
      <c r="AH129" s="1096"/>
      <c r="AI129" s="1096"/>
      <c r="AJ129" s="1096"/>
      <c r="AK129" s="1096"/>
      <c r="AL129" s="1096"/>
      <c r="AM129" s="1096"/>
      <c r="AN129" s="1096"/>
      <c r="AO129" s="1096"/>
      <c r="AP129" s="1096"/>
      <c r="AQ129" s="1096"/>
      <c r="AR129" s="1096"/>
      <c r="AS129" s="1096"/>
      <c r="AT129" s="1096"/>
      <c r="AU129" s="1096"/>
      <c r="AV129" s="1096"/>
      <c r="AW129" s="1096"/>
      <c r="AX129" s="1096"/>
      <c r="AY129" s="1096"/>
      <c r="AZ129" s="1096"/>
      <c r="BA129" s="1096"/>
      <c r="BB129" s="1096"/>
      <c r="BC129" s="1096"/>
      <c r="BD129" s="1096"/>
      <c r="BE129" s="1096"/>
      <c r="BF129" s="1096"/>
      <c r="BG129" s="1096"/>
      <c r="BH129" s="1096"/>
      <c r="BI129" s="1096"/>
      <c r="BJ129" s="1096"/>
      <c r="BK129" s="1096"/>
      <c r="BL129" s="1096"/>
      <c r="BM129" s="1096"/>
      <c r="BN129" s="1096"/>
      <c r="BO129" s="1096"/>
      <c r="BP129" s="1096"/>
      <c r="BQ129" s="1096"/>
      <c r="BR129" s="1096"/>
      <c r="BS129" s="1096"/>
      <c r="BT129" s="1096"/>
      <c r="BU129" s="1096"/>
    </row>
    <row r="130" spans="1:73" x14ac:dyDescent="0.25">
      <c r="A130" s="1096"/>
      <c r="B130" s="1096"/>
      <c r="C130" s="1120">
        <v>4</v>
      </c>
      <c r="D130" s="1100" t="str">
        <f t="shared" ref="D130:G130" ca="1" si="60">OFFSET(D$76,MATCH($C130,$N$101:$N$107,0)*3-2,0)</f>
        <v>Plant Design Capacity (kg of H2/day) = 398,356</v>
      </c>
      <c r="E130" s="1113">
        <f t="shared" ca="1" si="60"/>
        <v>1.3122440885996933</v>
      </c>
      <c r="F130" s="1113">
        <f t="shared" ca="1" si="60"/>
        <v>0</v>
      </c>
      <c r="G130" s="1113">
        <f t="shared" ca="1" si="60"/>
        <v>5.8940495240654596E-4</v>
      </c>
      <c r="H130" s="1113"/>
      <c r="I130" s="1113"/>
      <c r="J130" s="1113"/>
      <c r="K130" s="1113"/>
      <c r="L130" s="1113"/>
      <c r="M130" s="1113"/>
      <c r="N130" s="1113"/>
      <c r="O130" s="1113"/>
      <c r="P130" s="1113"/>
      <c r="Q130" s="1113"/>
      <c r="R130" s="1113"/>
      <c r="S130" s="1113"/>
      <c r="T130" s="1096"/>
      <c r="U130" s="1096"/>
      <c r="V130" s="1096"/>
      <c r="W130" s="1096"/>
      <c r="X130" s="1096"/>
      <c r="Y130" s="1096"/>
      <c r="Z130" s="1096"/>
      <c r="AA130" s="1096"/>
      <c r="AB130" s="1096"/>
      <c r="AC130" s="1096"/>
      <c r="AD130" s="1096"/>
      <c r="AE130" s="1096"/>
      <c r="AF130" s="1096"/>
      <c r="AG130" s="1096"/>
      <c r="AH130" s="1096"/>
      <c r="AI130" s="1096"/>
      <c r="AJ130" s="1096"/>
      <c r="AK130" s="1096"/>
      <c r="AL130" s="1096"/>
      <c r="AM130" s="1096"/>
      <c r="AN130" s="1096"/>
      <c r="AO130" s="1096"/>
      <c r="AP130" s="1096"/>
      <c r="AQ130" s="1096"/>
      <c r="AR130" s="1096"/>
      <c r="AS130" s="1096"/>
      <c r="AT130" s="1096"/>
      <c r="AU130" s="1096"/>
      <c r="AV130" s="1096"/>
      <c r="AW130" s="1096"/>
      <c r="AX130" s="1096"/>
      <c r="AY130" s="1096"/>
      <c r="AZ130" s="1096"/>
      <c r="BA130" s="1096"/>
      <c r="BB130" s="1096"/>
      <c r="BC130" s="1096"/>
      <c r="BD130" s="1096"/>
      <c r="BE130" s="1096"/>
      <c r="BF130" s="1096"/>
      <c r="BG130" s="1096"/>
      <c r="BH130" s="1096"/>
      <c r="BI130" s="1096"/>
      <c r="BJ130" s="1096"/>
      <c r="BK130" s="1096"/>
      <c r="BL130" s="1096"/>
      <c r="BM130" s="1096"/>
      <c r="BN130" s="1096"/>
      <c r="BO130" s="1096"/>
      <c r="BP130" s="1096"/>
      <c r="BQ130" s="1096"/>
      <c r="BR130" s="1096"/>
      <c r="BS130" s="1096"/>
      <c r="BT130" s="1096"/>
      <c r="BU130" s="1096"/>
    </row>
    <row r="131" spans="1:73" x14ac:dyDescent="0.25">
      <c r="A131" s="1096"/>
      <c r="B131" s="1096"/>
      <c r="C131" s="1120"/>
      <c r="D131" s="1100"/>
      <c r="E131" s="1113"/>
      <c r="F131" s="1113"/>
      <c r="G131" s="1113"/>
      <c r="H131" s="1113">
        <f t="shared" ref="H131:S131" ca="1" si="61">OFFSET(H$76,MATCH($C130,$N$101:$N$107,0)*3-2,0)</f>
        <v>5.4198047790198149E-2</v>
      </c>
      <c r="I131" s="1113">
        <f t="shared" ca="1" si="61"/>
        <v>7.6119317804521358E-3</v>
      </c>
      <c r="J131" s="1113">
        <f t="shared" ca="1" si="61"/>
        <v>1.621928654117042E-2</v>
      </c>
      <c r="K131" s="1113">
        <f t="shared" ca="1" si="61"/>
        <v>4.407124602139028E-4</v>
      </c>
      <c r="L131" s="1113">
        <f t="shared" ca="1" si="61"/>
        <v>5.8766572007966735E-4</v>
      </c>
      <c r="M131" s="1113">
        <f t="shared" ca="1" si="61"/>
        <v>5.9007997893940803E-2</v>
      </c>
      <c r="N131" s="1113">
        <f t="shared" ca="1" si="61"/>
        <v>1.0323787971615324</v>
      </c>
      <c r="O131" s="1113">
        <f t="shared" ca="1" si="61"/>
        <v>0</v>
      </c>
      <c r="P131" s="1113">
        <f t="shared" ca="1" si="61"/>
        <v>9.7719295943352408E-2</v>
      </c>
      <c r="Q131" s="1113">
        <f t="shared" ca="1" si="61"/>
        <v>3.560443306288532E-2</v>
      </c>
      <c r="R131" s="1113">
        <f t="shared" ca="1" si="61"/>
        <v>7.4658928321691097E-3</v>
      </c>
      <c r="S131" s="1113">
        <f t="shared" ca="1" si="61"/>
        <v>1.5994323661042945E-3</v>
      </c>
      <c r="T131" s="1096"/>
      <c r="U131" s="1096"/>
      <c r="V131" s="1096"/>
      <c r="W131" s="1096"/>
      <c r="X131" s="1096"/>
      <c r="Y131" s="1096"/>
      <c r="Z131" s="1096"/>
      <c r="AA131" s="1096"/>
      <c r="AB131" s="1096"/>
      <c r="AC131" s="1096"/>
      <c r="AD131" s="1096"/>
      <c r="AE131" s="1096"/>
      <c r="AF131" s="1096"/>
      <c r="AG131" s="1096"/>
      <c r="AH131" s="1096"/>
      <c r="AI131" s="1096"/>
      <c r="AJ131" s="1096"/>
      <c r="AK131" s="1096"/>
      <c r="AL131" s="1096"/>
      <c r="AM131" s="1096"/>
      <c r="AN131" s="1096"/>
      <c r="AO131" s="1096"/>
      <c r="AP131" s="1096"/>
      <c r="AQ131" s="1096"/>
      <c r="AR131" s="1096"/>
      <c r="AS131" s="1096"/>
      <c r="AT131" s="1096"/>
      <c r="AU131" s="1096"/>
      <c r="AV131" s="1096"/>
      <c r="AW131" s="1096"/>
      <c r="AX131" s="1096"/>
      <c r="AY131" s="1096"/>
      <c r="AZ131" s="1096"/>
      <c r="BA131" s="1096"/>
      <c r="BB131" s="1096"/>
      <c r="BC131" s="1096"/>
      <c r="BD131" s="1096"/>
      <c r="BE131" s="1096"/>
      <c r="BF131" s="1096"/>
      <c r="BG131" s="1096"/>
      <c r="BH131" s="1096"/>
      <c r="BI131" s="1096"/>
      <c r="BJ131" s="1096"/>
      <c r="BK131" s="1096"/>
      <c r="BL131" s="1096"/>
      <c r="BM131" s="1096"/>
      <c r="BN131" s="1096"/>
      <c r="BO131" s="1096"/>
      <c r="BP131" s="1096"/>
      <c r="BQ131" s="1096"/>
      <c r="BR131" s="1096"/>
      <c r="BS131" s="1096"/>
      <c r="BT131" s="1096"/>
      <c r="BU131" s="1096"/>
    </row>
    <row r="132" spans="1:73" x14ac:dyDescent="0.25">
      <c r="A132" s="1096"/>
      <c r="B132" s="1096"/>
      <c r="C132" s="1120">
        <v>4</v>
      </c>
      <c r="D132" s="1100" t="str">
        <f t="shared" ref="D132:G132" ca="1" si="62">OFFSET(D$76,MATCH($C132,$N$101:$N$107,0)*3,0)</f>
        <v>Plant Design Capacity (kg of H2/day) = 360,418</v>
      </c>
      <c r="E132" s="1113">
        <f t="shared" ca="1" si="62"/>
        <v>1.319695682762946</v>
      </c>
      <c r="F132" s="1113">
        <f t="shared" ca="1" si="62"/>
        <v>0</v>
      </c>
      <c r="G132" s="1113">
        <f t="shared" ca="1" si="62"/>
        <v>6.1347950453091672E-4</v>
      </c>
      <c r="H132" s="1113"/>
      <c r="I132" s="1113"/>
      <c r="J132" s="1113"/>
      <c r="K132" s="1113"/>
      <c r="L132" s="1113"/>
      <c r="M132" s="1113"/>
      <c r="N132" s="1113"/>
      <c r="O132" s="1113"/>
      <c r="P132" s="1113"/>
      <c r="Q132" s="1113"/>
      <c r="R132" s="1113"/>
      <c r="S132" s="1113"/>
      <c r="T132" s="1096"/>
      <c r="U132" s="1096"/>
      <c r="V132" s="1096"/>
      <c r="W132" s="1096"/>
      <c r="X132" s="1096"/>
      <c r="Y132" s="1096"/>
      <c r="Z132" s="1096"/>
      <c r="AA132" s="1096"/>
      <c r="AB132" s="1096"/>
      <c r="AC132" s="1096"/>
      <c r="AD132" s="1096"/>
      <c r="AE132" s="1096"/>
      <c r="AF132" s="1096"/>
      <c r="AG132" s="1096"/>
      <c r="AH132" s="1096"/>
      <c r="AI132" s="1096"/>
      <c r="AJ132" s="1096"/>
      <c r="AK132" s="1096"/>
      <c r="AL132" s="1096"/>
      <c r="AM132" s="1096"/>
      <c r="AN132" s="1096"/>
      <c r="AO132" s="1096"/>
      <c r="AP132" s="1096"/>
      <c r="AQ132" s="1096"/>
      <c r="AR132" s="1096"/>
      <c r="AS132" s="1096"/>
      <c r="AT132" s="1096"/>
      <c r="AU132" s="1096"/>
      <c r="AV132" s="1096"/>
      <c r="AW132" s="1096"/>
      <c r="AX132" s="1096"/>
      <c r="AY132" s="1096"/>
      <c r="AZ132" s="1096"/>
      <c r="BA132" s="1096"/>
      <c r="BB132" s="1096"/>
      <c r="BC132" s="1096"/>
      <c r="BD132" s="1096"/>
      <c r="BE132" s="1096"/>
      <c r="BF132" s="1096"/>
      <c r="BG132" s="1096"/>
      <c r="BH132" s="1096"/>
      <c r="BI132" s="1096"/>
      <c r="BJ132" s="1096"/>
      <c r="BK132" s="1096"/>
      <c r="BL132" s="1096"/>
      <c r="BM132" s="1096"/>
      <c r="BN132" s="1096"/>
      <c r="BO132" s="1096"/>
      <c r="BP132" s="1096"/>
      <c r="BQ132" s="1096"/>
      <c r="BR132" s="1096"/>
      <c r="BS132" s="1096"/>
      <c r="BT132" s="1096"/>
      <c r="BU132" s="1096"/>
    </row>
    <row r="133" spans="1:73" x14ac:dyDescent="0.25">
      <c r="A133" s="1096"/>
      <c r="B133" s="1096"/>
      <c r="C133" s="1120"/>
      <c r="D133" s="1100"/>
      <c r="E133" s="1113"/>
      <c r="F133" s="1113"/>
      <c r="G133" s="1113"/>
      <c r="H133" s="1113">
        <f t="shared" ref="H133:S133" ca="1" si="63">OFFSET(H$76,MATCH($C132,$N$101:$N$107,0)*3,0)</f>
        <v>5.6411795267610372E-2</v>
      </c>
      <c r="I133" s="1113">
        <f t="shared" ca="1" si="63"/>
        <v>7.922845096784854E-3</v>
      </c>
      <c r="J133" s="1113">
        <f t="shared" ca="1" si="63"/>
        <v>1.6263697116477172E-2</v>
      </c>
      <c r="K133" s="1113">
        <f t="shared" ca="1" si="63"/>
        <v>4.5871359008557857E-4</v>
      </c>
      <c r="L133" s="1113">
        <f t="shared" ca="1" si="63"/>
        <v>6.116692323542049E-4</v>
      </c>
      <c r="M133" s="1113">
        <f t="shared" ca="1" si="63"/>
        <v>6.2262268084227745E-2</v>
      </c>
      <c r="N133" s="1113">
        <f t="shared" ca="1" si="63"/>
        <v>1.0323787971615324</v>
      </c>
      <c r="O133" s="1113">
        <f t="shared" ca="1" si="63"/>
        <v>0</v>
      </c>
      <c r="P133" s="1113">
        <f t="shared" ca="1" si="63"/>
        <v>9.7719295943352449E-2</v>
      </c>
      <c r="Q133" s="1113">
        <f t="shared" ca="1" si="63"/>
        <v>3.7058714666952805E-2</v>
      </c>
      <c r="R133" s="1113">
        <f t="shared" ca="1" si="63"/>
        <v>7.5566040943380692E-3</v>
      </c>
      <c r="S133" s="1113">
        <f t="shared" ca="1" si="63"/>
        <v>1.6647620137598912E-3</v>
      </c>
      <c r="T133" s="1096"/>
      <c r="U133" s="1096"/>
      <c r="V133" s="1096"/>
      <c r="W133" s="1096"/>
      <c r="X133" s="1096"/>
      <c r="Y133" s="1096"/>
      <c r="Z133" s="1096"/>
      <c r="AA133" s="1096"/>
      <c r="AB133" s="1096"/>
      <c r="AC133" s="1096"/>
      <c r="AD133" s="1096"/>
      <c r="AE133" s="1096"/>
      <c r="AF133" s="1096"/>
      <c r="AG133" s="1096"/>
      <c r="AH133" s="1096"/>
      <c r="AI133" s="1096"/>
      <c r="AJ133" s="1096"/>
      <c r="AK133" s="1096"/>
      <c r="AL133" s="1096"/>
      <c r="AM133" s="1096"/>
      <c r="AN133" s="1096"/>
      <c r="AO133" s="1096"/>
      <c r="AP133" s="1096"/>
      <c r="AQ133" s="1096"/>
      <c r="AR133" s="1096"/>
      <c r="AS133" s="1096"/>
      <c r="AT133" s="1096"/>
      <c r="AU133" s="1096"/>
      <c r="AV133" s="1096"/>
      <c r="AW133" s="1096"/>
      <c r="AX133" s="1096"/>
      <c r="AY133" s="1096"/>
      <c r="AZ133" s="1096"/>
      <c r="BA133" s="1096"/>
      <c r="BB133" s="1096"/>
      <c r="BC133" s="1096"/>
      <c r="BD133" s="1096"/>
      <c r="BE133" s="1096"/>
      <c r="BF133" s="1096"/>
      <c r="BG133" s="1096"/>
      <c r="BH133" s="1096"/>
      <c r="BI133" s="1096"/>
      <c r="BJ133" s="1096"/>
      <c r="BK133" s="1096"/>
      <c r="BL133" s="1096"/>
      <c r="BM133" s="1096"/>
      <c r="BN133" s="1096"/>
      <c r="BO133" s="1096"/>
      <c r="BP133" s="1096"/>
      <c r="BQ133" s="1096"/>
      <c r="BR133" s="1096"/>
      <c r="BS133" s="1096"/>
      <c r="BT133" s="1096"/>
      <c r="BU133" s="1096"/>
    </row>
    <row r="134" spans="1:73" x14ac:dyDescent="0.25">
      <c r="A134" s="1096"/>
      <c r="B134" s="1096"/>
      <c r="C134" s="1120"/>
      <c r="D134" s="1100"/>
      <c r="E134" s="1113"/>
      <c r="F134" s="1113"/>
      <c r="G134" s="1113"/>
      <c r="H134" s="1113"/>
      <c r="I134" s="1113"/>
      <c r="J134" s="1113"/>
      <c r="K134" s="1113"/>
      <c r="L134" s="1113"/>
      <c r="M134" s="1113"/>
      <c r="N134" s="1113"/>
      <c r="O134" s="1113"/>
      <c r="P134" s="1113"/>
      <c r="Q134" s="1113"/>
      <c r="R134" s="1113"/>
      <c r="S134" s="1113"/>
      <c r="T134" s="1096"/>
      <c r="U134" s="1096"/>
      <c r="V134" s="1096"/>
      <c r="W134" s="1096"/>
      <c r="X134" s="1096"/>
      <c r="Y134" s="1096"/>
      <c r="Z134" s="1096"/>
      <c r="AA134" s="1096"/>
      <c r="AB134" s="1096"/>
      <c r="AC134" s="1096"/>
      <c r="AD134" s="1096"/>
      <c r="AE134" s="1096"/>
      <c r="AF134" s="1096"/>
      <c r="AG134" s="1096"/>
      <c r="AH134" s="1096"/>
      <c r="AI134" s="1096"/>
      <c r="AJ134" s="1096"/>
      <c r="AK134" s="1096"/>
      <c r="AL134" s="1096"/>
      <c r="AM134" s="1096"/>
      <c r="AN134" s="1096"/>
      <c r="AO134" s="1096"/>
      <c r="AP134" s="1096"/>
      <c r="AQ134" s="1096"/>
      <c r="AR134" s="1096"/>
      <c r="AS134" s="1096"/>
      <c r="AT134" s="1096"/>
      <c r="AU134" s="1096"/>
      <c r="AV134" s="1096"/>
      <c r="AW134" s="1096"/>
      <c r="AX134" s="1096"/>
      <c r="AY134" s="1096"/>
      <c r="AZ134" s="1096"/>
      <c r="BA134" s="1096"/>
      <c r="BB134" s="1096"/>
      <c r="BC134" s="1096"/>
      <c r="BD134" s="1096"/>
      <c r="BE134" s="1096"/>
      <c r="BF134" s="1096"/>
      <c r="BG134" s="1096"/>
      <c r="BH134" s="1096"/>
      <c r="BI134" s="1096"/>
      <c r="BJ134" s="1096"/>
      <c r="BK134" s="1096"/>
      <c r="BL134" s="1096"/>
      <c r="BM134" s="1096"/>
      <c r="BN134" s="1096"/>
      <c r="BO134" s="1096"/>
      <c r="BP134" s="1096"/>
      <c r="BQ134" s="1096"/>
      <c r="BR134" s="1096"/>
      <c r="BS134" s="1096"/>
      <c r="BT134" s="1096"/>
      <c r="BU134" s="1096"/>
    </row>
    <row r="135" spans="1:73" x14ac:dyDescent="0.25">
      <c r="A135" s="1096"/>
      <c r="B135" s="1096"/>
      <c r="C135" s="1120">
        <v>5</v>
      </c>
      <c r="D135" s="1100" t="str">
        <f t="shared" ref="D135:G135" ca="1" si="64">OFFSET(D$76,MATCH($C135,$N$101:$N$107,0)*3-2,0)</f>
        <v>Total Fixed Operating Cost = $7,029K</v>
      </c>
      <c r="E135" s="1113">
        <f t="shared" ca="1" si="64"/>
        <v>1.3127473710850819</v>
      </c>
      <c r="F135" s="1113">
        <f t="shared" ca="1" si="64"/>
        <v>0</v>
      </c>
      <c r="G135" s="1113">
        <f t="shared" ca="1" si="64"/>
        <v>6.0102079727676302E-4</v>
      </c>
      <c r="H135" s="1113"/>
      <c r="I135" s="1113"/>
      <c r="J135" s="1113"/>
      <c r="K135" s="1113"/>
      <c r="L135" s="1113"/>
      <c r="M135" s="1113"/>
      <c r="N135" s="1113"/>
      <c r="O135" s="1113"/>
      <c r="P135" s="1113"/>
      <c r="Q135" s="1113"/>
      <c r="R135" s="1113"/>
      <c r="S135" s="1113"/>
      <c r="T135" s="1096"/>
      <c r="U135" s="1096"/>
      <c r="V135" s="1096"/>
      <c r="W135" s="1096"/>
      <c r="X135" s="1096"/>
      <c r="Y135" s="1096"/>
      <c r="Z135" s="1096"/>
      <c r="AA135" s="1096"/>
      <c r="AB135" s="1096"/>
      <c r="AC135" s="1096"/>
      <c r="AD135" s="1096"/>
      <c r="AE135" s="1096"/>
      <c r="AF135" s="1096"/>
      <c r="AG135" s="1096"/>
      <c r="AH135" s="1096"/>
      <c r="AI135" s="1096"/>
      <c r="AJ135" s="1096"/>
      <c r="AK135" s="1096"/>
      <c r="AL135" s="1096"/>
      <c r="AM135" s="1096"/>
      <c r="AN135" s="1096"/>
      <c r="AO135" s="1096"/>
      <c r="AP135" s="1096"/>
      <c r="AQ135" s="1096"/>
      <c r="AR135" s="1096"/>
      <c r="AS135" s="1096"/>
      <c r="AT135" s="1096"/>
      <c r="AU135" s="1096"/>
      <c r="AV135" s="1096"/>
      <c r="AW135" s="1096"/>
      <c r="AX135" s="1096"/>
      <c r="AY135" s="1096"/>
      <c r="AZ135" s="1096"/>
      <c r="BA135" s="1096"/>
      <c r="BB135" s="1096"/>
      <c r="BC135" s="1096"/>
      <c r="BD135" s="1096"/>
      <c r="BE135" s="1096"/>
      <c r="BF135" s="1096"/>
      <c r="BG135" s="1096"/>
      <c r="BH135" s="1096"/>
      <c r="BI135" s="1096"/>
      <c r="BJ135" s="1096"/>
      <c r="BK135" s="1096"/>
      <c r="BL135" s="1096"/>
      <c r="BM135" s="1096"/>
      <c r="BN135" s="1096"/>
      <c r="BO135" s="1096"/>
      <c r="BP135" s="1096"/>
      <c r="BQ135" s="1096"/>
      <c r="BR135" s="1096"/>
      <c r="BS135" s="1096"/>
      <c r="BT135" s="1096"/>
      <c r="BU135" s="1096"/>
    </row>
    <row r="136" spans="1:73" x14ac:dyDescent="0.25">
      <c r="A136" s="1096"/>
      <c r="B136" s="1096"/>
      <c r="C136" s="1120"/>
      <c r="D136" s="1100"/>
      <c r="E136" s="1113"/>
      <c r="F136" s="1113"/>
      <c r="G136" s="1113"/>
      <c r="H136" s="1113">
        <f t="shared" ref="H136:S136" ca="1" si="65">OFFSET(H$76,MATCH($C135,$N$101:$N$107,0)*3-2,0)</f>
        <v>5.5266169313149496E-2</v>
      </c>
      <c r="I136" s="1113">
        <f t="shared" ca="1" si="65"/>
        <v>7.7619458215004659E-3</v>
      </c>
      <c r="J136" s="1113">
        <f t="shared" ca="1" si="65"/>
        <v>1.6199278792039386E-2</v>
      </c>
      <c r="K136" s="1113">
        <f t="shared" ca="1" si="65"/>
        <v>4.4939791076757435E-4</v>
      </c>
      <c r="L136" s="1113">
        <f t="shared" ca="1" si="65"/>
        <v>5.9924728859570725E-4</v>
      </c>
      <c r="M136" s="1113">
        <f t="shared" ca="1" si="65"/>
        <v>5.7541891654106489E-2</v>
      </c>
      <c r="N136" s="1113">
        <f t="shared" ca="1" si="65"/>
        <v>1.0323787971615324</v>
      </c>
      <c r="O136" s="1113">
        <f t="shared" ca="1" si="65"/>
        <v>0</v>
      </c>
      <c r="P136" s="1113">
        <f t="shared" ca="1" si="65"/>
        <v>9.7719295943352394E-2</v>
      </c>
      <c r="Q136" s="1113">
        <f t="shared" ca="1" si="65"/>
        <v>3.6306116293509466E-2</v>
      </c>
      <c r="R136" s="1113">
        <f t="shared" ca="1" si="65"/>
        <v>7.4952981260624236E-3</v>
      </c>
      <c r="S136" s="1113">
        <f t="shared" ca="1" si="65"/>
        <v>1.6309535777419199E-3</v>
      </c>
      <c r="T136" s="1096"/>
      <c r="U136" s="1096"/>
      <c r="V136" s="1096"/>
      <c r="W136" s="1096"/>
      <c r="X136" s="1096"/>
      <c r="Y136" s="1096"/>
      <c r="Z136" s="1096"/>
      <c r="AA136" s="1096"/>
      <c r="AB136" s="1096"/>
      <c r="AC136" s="1096"/>
      <c r="AD136" s="1096"/>
      <c r="AE136" s="1096"/>
      <c r="AF136" s="1096"/>
      <c r="AG136" s="1096"/>
      <c r="AH136" s="1096"/>
      <c r="AI136" s="1096"/>
      <c r="AJ136" s="1096"/>
      <c r="AK136" s="1096"/>
      <c r="AL136" s="1096"/>
      <c r="AM136" s="1096"/>
      <c r="AN136" s="1096"/>
      <c r="AO136" s="1096"/>
      <c r="AP136" s="1096"/>
      <c r="AQ136" s="1096"/>
      <c r="AR136" s="1096"/>
      <c r="AS136" s="1096"/>
      <c r="AT136" s="1096"/>
      <c r="AU136" s="1096"/>
      <c r="AV136" s="1096"/>
      <c r="AW136" s="1096"/>
      <c r="AX136" s="1096"/>
      <c r="AY136" s="1096"/>
      <c r="AZ136" s="1096"/>
      <c r="BA136" s="1096"/>
      <c r="BB136" s="1096"/>
      <c r="BC136" s="1096"/>
      <c r="BD136" s="1096"/>
      <c r="BE136" s="1096"/>
      <c r="BF136" s="1096"/>
      <c r="BG136" s="1096"/>
      <c r="BH136" s="1096"/>
      <c r="BI136" s="1096"/>
      <c r="BJ136" s="1096"/>
      <c r="BK136" s="1096"/>
      <c r="BL136" s="1096"/>
      <c r="BM136" s="1096"/>
      <c r="BN136" s="1096"/>
      <c r="BO136" s="1096"/>
      <c r="BP136" s="1096"/>
      <c r="BQ136" s="1096"/>
      <c r="BR136" s="1096"/>
      <c r="BS136" s="1096"/>
      <c r="BT136" s="1096"/>
      <c r="BU136" s="1096"/>
    </row>
    <row r="137" spans="1:73" x14ac:dyDescent="0.25">
      <c r="A137" s="1096"/>
      <c r="B137" s="1096"/>
      <c r="C137" s="1120">
        <v>5</v>
      </c>
      <c r="D137" s="1100" t="str">
        <f t="shared" ref="D137:G137" ca="1" si="66">OFFSET(D$76,MATCH($C137,$N$101:$N$107,0)*3,0)</f>
        <v>Total Fixed Operating Cost = $7,769K</v>
      </c>
      <c r="E137" s="1113">
        <f t="shared" ca="1" si="66"/>
        <v>1.3189157233865563</v>
      </c>
      <c r="F137" s="1113">
        <f t="shared" ca="1" si="66"/>
        <v>0</v>
      </c>
      <c r="G137" s="1113">
        <f t="shared" ca="1" si="66"/>
        <v>6.0102079727676302E-4</v>
      </c>
      <c r="H137" s="1113"/>
      <c r="I137" s="1113"/>
      <c r="J137" s="1113"/>
      <c r="K137" s="1113"/>
      <c r="L137" s="1113"/>
      <c r="M137" s="1113"/>
      <c r="N137" s="1113"/>
      <c r="O137" s="1113"/>
      <c r="P137" s="1113"/>
      <c r="Q137" s="1113"/>
      <c r="R137" s="1113"/>
      <c r="S137" s="1113"/>
      <c r="T137" s="1096"/>
      <c r="U137" s="1096"/>
      <c r="V137" s="1096"/>
      <c r="W137" s="1096"/>
      <c r="X137" s="1096"/>
      <c r="Y137" s="1096"/>
      <c r="Z137" s="1096"/>
      <c r="AA137" s="1096"/>
      <c r="AB137" s="1096"/>
      <c r="AC137" s="1096"/>
      <c r="AD137" s="1096"/>
      <c r="AE137" s="1096"/>
      <c r="AF137" s="1096"/>
      <c r="AG137" s="1096"/>
      <c r="AH137" s="1096"/>
      <c r="AI137" s="1096"/>
      <c r="AJ137" s="1096"/>
      <c r="AK137" s="1096"/>
      <c r="AL137" s="1096"/>
      <c r="AM137" s="1096"/>
      <c r="AN137" s="1096"/>
      <c r="AO137" s="1096"/>
      <c r="AP137" s="1096"/>
      <c r="AQ137" s="1096"/>
      <c r="AR137" s="1096"/>
      <c r="AS137" s="1096"/>
      <c r="AT137" s="1096"/>
      <c r="AU137" s="1096"/>
      <c r="AV137" s="1096"/>
      <c r="AW137" s="1096"/>
      <c r="AX137" s="1096"/>
      <c r="AY137" s="1096"/>
      <c r="AZ137" s="1096"/>
      <c r="BA137" s="1096"/>
      <c r="BB137" s="1096"/>
      <c r="BC137" s="1096"/>
      <c r="BD137" s="1096"/>
      <c r="BE137" s="1096"/>
      <c r="BF137" s="1096"/>
      <c r="BG137" s="1096"/>
      <c r="BH137" s="1096"/>
      <c r="BI137" s="1096"/>
      <c r="BJ137" s="1096"/>
      <c r="BK137" s="1096"/>
      <c r="BL137" s="1096"/>
      <c r="BM137" s="1096"/>
      <c r="BN137" s="1096"/>
      <c r="BO137" s="1096"/>
      <c r="BP137" s="1096"/>
      <c r="BQ137" s="1096"/>
      <c r="BR137" s="1096"/>
      <c r="BS137" s="1096"/>
      <c r="BT137" s="1096"/>
      <c r="BU137" s="1096"/>
    </row>
    <row r="138" spans="1:73" x14ac:dyDescent="0.25">
      <c r="A138" s="1096"/>
      <c r="B138" s="1096"/>
      <c r="C138" s="1120"/>
      <c r="D138" s="1100"/>
      <c r="E138" s="1113"/>
      <c r="F138" s="1113"/>
      <c r="G138" s="1113"/>
      <c r="H138" s="1113">
        <f t="shared" ref="H138:S138" ca="1" si="67">OFFSET(H$76,MATCH($C137,$N$101:$N$107,0)*3,0)</f>
        <v>5.5266169313149496E-2</v>
      </c>
      <c r="I138" s="1113">
        <f t="shared" ca="1" si="67"/>
        <v>7.7619458215004659E-3</v>
      </c>
      <c r="J138" s="1113">
        <f t="shared" ca="1" si="67"/>
        <v>1.6281938396131103E-2</v>
      </c>
      <c r="K138" s="1113">
        <f t="shared" ca="1" si="67"/>
        <v>4.4939791076757435E-4</v>
      </c>
      <c r="L138" s="1113">
        <f t="shared" ca="1" si="67"/>
        <v>5.9924728859570725E-4</v>
      </c>
      <c r="M138" s="1113">
        <f t="shared" ca="1" si="67"/>
        <v>6.3598932880854525E-2</v>
      </c>
      <c r="N138" s="1113">
        <f t="shared" ca="1" si="67"/>
        <v>1.0323787971615324</v>
      </c>
      <c r="O138" s="1113">
        <f t="shared" ca="1" si="67"/>
        <v>0</v>
      </c>
      <c r="P138" s="1113">
        <f t="shared" ca="1" si="67"/>
        <v>9.7719295943352394E-2</v>
      </c>
      <c r="Q138" s="1113">
        <f t="shared" ca="1" si="67"/>
        <v>3.6306116293509466E-2</v>
      </c>
      <c r="R138" s="1113">
        <f t="shared" ca="1" si="67"/>
        <v>7.5239495966969681E-3</v>
      </c>
      <c r="S138" s="1113">
        <f t="shared" ca="1" si="67"/>
        <v>1.6309535777419199E-3</v>
      </c>
      <c r="T138" s="1096"/>
      <c r="U138" s="1096"/>
      <c r="V138" s="1096"/>
      <c r="W138" s="1096"/>
      <c r="X138" s="1096"/>
      <c r="Y138" s="1096"/>
      <c r="Z138" s="1096"/>
      <c r="AA138" s="1096"/>
      <c r="AB138" s="1096"/>
      <c r="AC138" s="1096"/>
      <c r="AD138" s="1096"/>
      <c r="AE138" s="1096"/>
      <c r="AF138" s="1096"/>
      <c r="AG138" s="1096"/>
      <c r="AH138" s="1096"/>
      <c r="AI138" s="1096"/>
      <c r="AJ138" s="1096"/>
      <c r="AK138" s="1096"/>
      <c r="AL138" s="1096"/>
      <c r="AM138" s="1096"/>
      <c r="AN138" s="1096"/>
      <c r="AO138" s="1096"/>
      <c r="AP138" s="1096"/>
      <c r="AQ138" s="1096"/>
      <c r="AR138" s="1096"/>
      <c r="AS138" s="1096"/>
      <c r="AT138" s="1096"/>
      <c r="AU138" s="1096"/>
      <c r="AV138" s="1096"/>
      <c r="AW138" s="1096"/>
      <c r="AX138" s="1096"/>
      <c r="AY138" s="1096"/>
      <c r="AZ138" s="1096"/>
      <c r="BA138" s="1096"/>
      <c r="BB138" s="1096"/>
      <c r="BC138" s="1096"/>
      <c r="BD138" s="1096"/>
      <c r="BE138" s="1096"/>
      <c r="BF138" s="1096"/>
      <c r="BG138" s="1096"/>
      <c r="BH138" s="1096"/>
      <c r="BI138" s="1096"/>
      <c r="BJ138" s="1096"/>
      <c r="BK138" s="1096"/>
      <c r="BL138" s="1096"/>
      <c r="BM138" s="1096"/>
      <c r="BN138" s="1096"/>
      <c r="BO138" s="1096"/>
      <c r="BP138" s="1096"/>
      <c r="BQ138" s="1096"/>
      <c r="BR138" s="1096"/>
      <c r="BS138" s="1096"/>
      <c r="BT138" s="1096"/>
      <c r="BU138" s="1096"/>
    </row>
    <row r="139" spans="1:73" x14ac:dyDescent="0.25">
      <c r="A139" s="1096"/>
      <c r="B139" s="1096"/>
      <c r="C139" s="1120"/>
      <c r="D139" s="1100"/>
      <c r="E139" s="1113"/>
      <c r="F139" s="1113"/>
      <c r="G139" s="1113"/>
      <c r="H139" s="1113"/>
      <c r="I139" s="1113"/>
      <c r="J139" s="1113"/>
      <c r="K139" s="1113"/>
      <c r="L139" s="1113"/>
      <c r="M139" s="1113"/>
      <c r="N139" s="1113"/>
      <c r="O139" s="1113"/>
      <c r="P139" s="1113"/>
      <c r="Q139" s="1113"/>
      <c r="R139" s="1113"/>
      <c r="S139" s="1113"/>
      <c r="T139" s="1096"/>
      <c r="U139" s="1096"/>
      <c r="V139" s="1096"/>
      <c r="W139" s="1096"/>
      <c r="X139" s="1096"/>
      <c r="Y139" s="1096"/>
      <c r="Z139" s="1096"/>
      <c r="AA139" s="1096"/>
      <c r="AB139" s="1096"/>
      <c r="AC139" s="1096"/>
      <c r="AD139" s="1096"/>
      <c r="AE139" s="1096"/>
      <c r="AF139" s="1096"/>
      <c r="AG139" s="1096"/>
      <c r="AH139" s="1096"/>
      <c r="AI139" s="1096"/>
      <c r="AJ139" s="1096"/>
      <c r="AK139" s="1096"/>
      <c r="AL139" s="1096"/>
      <c r="AM139" s="1096"/>
      <c r="AN139" s="1096"/>
      <c r="AO139" s="1096"/>
      <c r="AP139" s="1096"/>
      <c r="AQ139" s="1096"/>
      <c r="AR139" s="1096"/>
      <c r="AS139" s="1096"/>
      <c r="AT139" s="1096"/>
      <c r="AU139" s="1096"/>
      <c r="AV139" s="1096"/>
      <c r="AW139" s="1096"/>
      <c r="AX139" s="1096"/>
      <c r="AY139" s="1096"/>
      <c r="AZ139" s="1096"/>
      <c r="BA139" s="1096"/>
      <c r="BB139" s="1096"/>
      <c r="BC139" s="1096"/>
      <c r="BD139" s="1096"/>
      <c r="BE139" s="1096"/>
      <c r="BF139" s="1096"/>
      <c r="BG139" s="1096"/>
      <c r="BH139" s="1096"/>
      <c r="BI139" s="1096"/>
      <c r="BJ139" s="1096"/>
      <c r="BK139" s="1096"/>
      <c r="BL139" s="1096"/>
      <c r="BM139" s="1096"/>
      <c r="BN139" s="1096"/>
      <c r="BO139" s="1096"/>
      <c r="BP139" s="1096"/>
      <c r="BQ139" s="1096"/>
      <c r="BR139" s="1096"/>
      <c r="BS139" s="1096"/>
      <c r="BT139" s="1096"/>
      <c r="BU139" s="1096"/>
    </row>
    <row r="140" spans="1:73" x14ac:dyDescent="0.25">
      <c r="A140" s="1096"/>
      <c r="B140" s="1096"/>
      <c r="C140" s="1120">
        <v>6</v>
      </c>
      <c r="D140" s="1100" t="str">
        <f t="shared" ref="D140:G140" ca="1" si="68">OFFSET(D$76,MATCH($C140,$N$101:$N$107,0)*3-2,0)</f>
        <v>After-tax Real IRR = 8%</v>
      </c>
      <c r="E140" s="1113">
        <f t="shared" ca="1" si="68"/>
        <v>1.3128499129124052</v>
      </c>
      <c r="F140" s="1113">
        <f t="shared" ca="1" si="68"/>
        <v>0</v>
      </c>
      <c r="G140" s="1113">
        <f t="shared" ca="1" si="68"/>
        <v>6.6642914449063437E-4</v>
      </c>
      <c r="H140" s="1113"/>
      <c r="I140" s="1113"/>
      <c r="J140" s="1113"/>
      <c r="K140" s="1113"/>
      <c r="L140" s="1113"/>
      <c r="M140" s="1113"/>
      <c r="N140" s="1113"/>
      <c r="O140" s="1113"/>
      <c r="P140" s="1113"/>
      <c r="Q140" s="1113"/>
      <c r="R140" s="1113"/>
      <c r="S140" s="1113"/>
      <c r="T140" s="1096"/>
      <c r="U140" s="1096"/>
      <c r="V140" s="1096"/>
      <c r="W140" s="1096"/>
      <c r="X140" s="1096"/>
      <c r="Y140" s="1096"/>
      <c r="Z140" s="1096"/>
      <c r="AA140" s="1096"/>
      <c r="AB140" s="1096"/>
      <c r="AC140" s="1096"/>
      <c r="AD140" s="1096"/>
      <c r="AE140" s="1096"/>
      <c r="AF140" s="1096"/>
      <c r="AG140" s="1096"/>
      <c r="AH140" s="1096"/>
      <c r="AI140" s="1096"/>
      <c r="AJ140" s="1096"/>
      <c r="AK140" s="1096"/>
      <c r="AL140" s="1096"/>
      <c r="AM140" s="1096"/>
      <c r="AN140" s="1096"/>
      <c r="AO140" s="1096"/>
      <c r="AP140" s="1096"/>
      <c r="AQ140" s="1096"/>
      <c r="AR140" s="1096"/>
      <c r="AS140" s="1096"/>
      <c r="AT140" s="1096"/>
      <c r="AU140" s="1096"/>
      <c r="AV140" s="1096"/>
      <c r="AW140" s="1096"/>
      <c r="AX140" s="1096"/>
      <c r="AY140" s="1096"/>
      <c r="AZ140" s="1096"/>
      <c r="BA140" s="1096"/>
      <c r="BB140" s="1096"/>
      <c r="BC140" s="1096"/>
      <c r="BD140" s="1096"/>
      <c r="BE140" s="1096"/>
      <c r="BF140" s="1096"/>
      <c r="BG140" s="1096"/>
      <c r="BH140" s="1096"/>
      <c r="BI140" s="1096"/>
      <c r="BJ140" s="1096"/>
      <c r="BK140" s="1096"/>
      <c r="BL140" s="1096"/>
      <c r="BM140" s="1096"/>
      <c r="BN140" s="1096"/>
      <c r="BO140" s="1096"/>
      <c r="BP140" s="1096"/>
      <c r="BQ140" s="1096"/>
      <c r="BR140" s="1096"/>
      <c r="BS140" s="1096"/>
      <c r="BT140" s="1096"/>
      <c r="BU140" s="1096"/>
    </row>
    <row r="141" spans="1:73" x14ac:dyDescent="0.25">
      <c r="A141" s="1096"/>
      <c r="B141" s="1096"/>
      <c r="C141" s="1120"/>
      <c r="D141" s="1100"/>
      <c r="E141" s="1113"/>
      <c r="F141" s="1113"/>
      <c r="G141" s="1113"/>
      <c r="H141" s="1113">
        <f t="shared" ref="H141:S141" ca="1" si="69">OFFSET(H$76,MATCH($C140,$N$101:$N$107,0)*3-2,0)</f>
        <v>5.2674233231365448E-2</v>
      </c>
      <c r="I141" s="1113">
        <f t="shared" ca="1" si="69"/>
        <v>7.7497222141576739E-3</v>
      </c>
      <c r="J141" s="1113">
        <f t="shared" ca="1" si="69"/>
        <v>1.5651153285881739E-2</v>
      </c>
      <c r="K141" s="1113">
        <f t="shared" ca="1" si="69"/>
        <v>4.2639607246159413E-4</v>
      </c>
      <c r="L141" s="1113">
        <f t="shared" ca="1" si="69"/>
        <v>6.6446262706159036E-4</v>
      </c>
      <c r="M141" s="1113">
        <f t="shared" ca="1" si="69"/>
        <v>6.0521774595846796E-2</v>
      </c>
      <c r="N141" s="1113">
        <f t="shared" ca="1" si="69"/>
        <v>1.0339044722805637</v>
      </c>
      <c r="O141" s="1113">
        <f t="shared" ca="1" si="69"/>
        <v>0</v>
      </c>
      <c r="P141" s="1113">
        <f t="shared" ca="1" si="69"/>
        <v>9.7664077180831033E-2</v>
      </c>
      <c r="Q141" s="1113">
        <f t="shared" ca="1" si="69"/>
        <v>3.5668404314729105E-2</v>
      </c>
      <c r="R141" s="1113">
        <f t="shared" ca="1" si="69"/>
        <v>6.7831980231811721E-3</v>
      </c>
      <c r="S141" s="1113">
        <f t="shared" ca="1" si="69"/>
        <v>1.8084482308155067E-3</v>
      </c>
      <c r="T141" s="1096"/>
      <c r="U141" s="1096"/>
      <c r="V141" s="1096"/>
      <c r="W141" s="1096"/>
      <c r="X141" s="1096"/>
      <c r="Y141" s="1096"/>
      <c r="Z141" s="1096"/>
      <c r="AA141" s="1096"/>
      <c r="AB141" s="1096"/>
      <c r="AC141" s="1096"/>
      <c r="AD141" s="1096"/>
      <c r="AE141" s="1096"/>
      <c r="AF141" s="1096"/>
      <c r="AG141" s="1096"/>
      <c r="AH141" s="1096"/>
      <c r="AI141" s="1096"/>
      <c r="AJ141" s="1096"/>
      <c r="AK141" s="1096"/>
      <c r="AL141" s="1096"/>
      <c r="AM141" s="1096"/>
      <c r="AN141" s="1096"/>
      <c r="AO141" s="1096"/>
      <c r="AP141" s="1096"/>
      <c r="AQ141" s="1096"/>
      <c r="AR141" s="1096"/>
      <c r="AS141" s="1096"/>
      <c r="AT141" s="1096"/>
      <c r="AU141" s="1096"/>
      <c r="AV141" s="1096"/>
      <c r="AW141" s="1096"/>
      <c r="AX141" s="1096"/>
      <c r="AY141" s="1096"/>
      <c r="AZ141" s="1096"/>
      <c r="BA141" s="1096"/>
      <c r="BB141" s="1096"/>
      <c r="BC141" s="1096"/>
      <c r="BD141" s="1096"/>
      <c r="BE141" s="1096"/>
      <c r="BF141" s="1096"/>
      <c r="BG141" s="1096"/>
      <c r="BH141" s="1096"/>
      <c r="BI141" s="1096"/>
      <c r="BJ141" s="1096"/>
      <c r="BK141" s="1096"/>
      <c r="BL141" s="1096"/>
      <c r="BM141" s="1096"/>
      <c r="BN141" s="1096"/>
      <c r="BO141" s="1096"/>
      <c r="BP141" s="1096"/>
      <c r="BQ141" s="1096"/>
      <c r="BR141" s="1096"/>
      <c r="BS141" s="1096"/>
      <c r="BT141" s="1096"/>
      <c r="BU141" s="1096"/>
    </row>
    <row r="142" spans="1:73" x14ac:dyDescent="0.25">
      <c r="A142" s="1096"/>
      <c r="B142" s="1096"/>
      <c r="C142" s="1120">
        <v>6</v>
      </c>
      <c r="D142" s="1100" t="str">
        <f t="shared" ref="D142:G142" ca="1" si="70">OFFSET(D$76,MATCH($C142,$N$101:$N$107,0)*3,0)</f>
        <v>After-tax Real IRR = 8%</v>
      </c>
      <c r="E142" s="1113">
        <f t="shared" ca="1" si="70"/>
        <v>1.3189847434874717</v>
      </c>
      <c r="F142" s="1113">
        <f t="shared" ca="1" si="70"/>
        <v>0</v>
      </c>
      <c r="G142" s="1113">
        <f t="shared" ca="1" si="70"/>
        <v>5.4159599348299408E-4</v>
      </c>
      <c r="H142" s="1113"/>
      <c r="I142" s="1113"/>
      <c r="J142" s="1113"/>
      <c r="K142" s="1113"/>
      <c r="L142" s="1113"/>
      <c r="M142" s="1113"/>
      <c r="N142" s="1113"/>
      <c r="O142" s="1113"/>
      <c r="P142" s="1113"/>
      <c r="Q142" s="1113"/>
      <c r="R142" s="1113"/>
      <c r="S142" s="1113"/>
      <c r="T142" s="1096"/>
      <c r="U142" s="1096"/>
      <c r="V142" s="1096"/>
      <c r="W142" s="1096"/>
      <c r="X142" s="1096"/>
      <c r="Y142" s="1096"/>
      <c r="Z142" s="1096"/>
      <c r="AA142" s="1096"/>
      <c r="AB142" s="1096"/>
      <c r="AC142" s="1096"/>
      <c r="AD142" s="1096"/>
      <c r="AE142" s="1096"/>
      <c r="AF142" s="1096"/>
      <c r="AG142" s="1096"/>
      <c r="AH142" s="1096"/>
      <c r="AI142" s="1096"/>
      <c r="AJ142" s="1096"/>
      <c r="AK142" s="1096"/>
      <c r="AL142" s="1096"/>
      <c r="AM142" s="1096"/>
      <c r="AN142" s="1096"/>
      <c r="AO142" s="1096"/>
      <c r="AP142" s="1096"/>
      <c r="AQ142" s="1096"/>
      <c r="AR142" s="1096"/>
      <c r="AS142" s="1096"/>
      <c r="AT142" s="1096"/>
      <c r="AU142" s="1096"/>
      <c r="AV142" s="1096"/>
      <c r="AW142" s="1096"/>
      <c r="AX142" s="1096"/>
      <c r="AY142" s="1096"/>
      <c r="AZ142" s="1096"/>
      <c r="BA142" s="1096"/>
      <c r="BB142" s="1096"/>
      <c r="BC142" s="1096"/>
      <c r="BD142" s="1096"/>
      <c r="BE142" s="1096"/>
      <c r="BF142" s="1096"/>
      <c r="BG142" s="1096"/>
      <c r="BH142" s="1096"/>
      <c r="BI142" s="1096"/>
      <c r="BJ142" s="1096"/>
      <c r="BK142" s="1096"/>
      <c r="BL142" s="1096"/>
      <c r="BM142" s="1096"/>
      <c r="BN142" s="1096"/>
      <c r="BO142" s="1096"/>
      <c r="BP142" s="1096"/>
      <c r="BQ142" s="1096"/>
      <c r="BR142" s="1096"/>
      <c r="BS142" s="1096"/>
      <c r="BT142" s="1096"/>
      <c r="BU142" s="1096"/>
    </row>
    <row r="143" spans="1:73" x14ac:dyDescent="0.25">
      <c r="A143" s="1096"/>
      <c r="B143" s="1096"/>
      <c r="C143" s="1120"/>
      <c r="D143" s="1100"/>
      <c r="E143" s="1113"/>
      <c r="F143" s="1113"/>
      <c r="G143" s="1113"/>
      <c r="H143" s="1113">
        <f t="shared" ref="H143:S143" ca="1" si="71">OFFSET(H$76,MATCH($C142,$N$101:$N$107,0)*3,0)</f>
        <v>5.790685701536278E-2</v>
      </c>
      <c r="I143" s="1113">
        <f t="shared" ca="1" si="71"/>
        <v>7.7742656406916523E-3</v>
      </c>
      <c r="J143" s="1113">
        <f t="shared" ca="1" si="71"/>
        <v>1.682510819902271E-2</v>
      </c>
      <c r="K143" s="1113">
        <f t="shared" ca="1" si="71"/>
        <v>4.7298690136872033E-4</v>
      </c>
      <c r="L143" s="1113">
        <f t="shared" ca="1" si="71"/>
        <v>5.3999783714561071E-4</v>
      </c>
      <c r="M143" s="1113">
        <f t="shared" ca="1" si="71"/>
        <v>6.0619432765571073E-2</v>
      </c>
      <c r="N143" s="1113">
        <f t="shared" ca="1" si="71"/>
        <v>1.030927595852317</v>
      </c>
      <c r="O143" s="1113">
        <f t="shared" ca="1" si="71"/>
        <v>0</v>
      </c>
      <c r="P143" s="1113">
        <f t="shared" ca="1" si="71"/>
        <v>9.7775641865214966E-2</v>
      </c>
      <c r="Q143" s="1113">
        <f t="shared" ca="1" si="71"/>
        <v>3.6948341879524206E-2</v>
      </c>
      <c r="R143" s="1113">
        <f t="shared" ca="1" si="71"/>
        <v>8.2664154222635861E-3</v>
      </c>
      <c r="S143" s="1113">
        <f t="shared" ca="1" si="71"/>
        <v>1.4696961024711786E-3</v>
      </c>
      <c r="T143" s="1096"/>
      <c r="U143" s="1096"/>
      <c r="V143" s="1096"/>
      <c r="W143" s="1096"/>
      <c r="X143" s="1096"/>
      <c r="Y143" s="1096"/>
      <c r="Z143" s="1096"/>
      <c r="AA143" s="1096"/>
      <c r="AB143" s="1096"/>
      <c r="AC143" s="1096"/>
      <c r="AD143" s="1096"/>
      <c r="AE143" s="1096"/>
      <c r="AF143" s="1096"/>
      <c r="AG143" s="1096"/>
      <c r="AH143" s="1096"/>
      <c r="AI143" s="1096"/>
      <c r="AJ143" s="1096"/>
      <c r="AK143" s="1096"/>
      <c r="AL143" s="1096"/>
      <c r="AM143" s="1096"/>
      <c r="AN143" s="1096"/>
      <c r="AO143" s="1096"/>
      <c r="AP143" s="1096"/>
      <c r="AQ143" s="1096"/>
      <c r="AR143" s="1096"/>
      <c r="AS143" s="1096"/>
      <c r="AT143" s="1096"/>
      <c r="AU143" s="1096"/>
      <c r="AV143" s="1096"/>
      <c r="AW143" s="1096"/>
      <c r="AX143" s="1096"/>
      <c r="AY143" s="1096"/>
      <c r="AZ143" s="1096"/>
      <c r="BA143" s="1096"/>
      <c r="BB143" s="1096"/>
      <c r="BC143" s="1096"/>
      <c r="BD143" s="1096"/>
      <c r="BE143" s="1096"/>
      <c r="BF143" s="1096"/>
      <c r="BG143" s="1096"/>
      <c r="BH143" s="1096"/>
      <c r="BI143" s="1096"/>
      <c r="BJ143" s="1096"/>
      <c r="BK143" s="1096"/>
      <c r="BL143" s="1096"/>
      <c r="BM143" s="1096"/>
      <c r="BN143" s="1096"/>
      <c r="BO143" s="1096"/>
      <c r="BP143" s="1096"/>
      <c r="BQ143" s="1096"/>
      <c r="BR143" s="1096"/>
      <c r="BS143" s="1096"/>
      <c r="BT143" s="1096"/>
      <c r="BU143" s="1096"/>
    </row>
    <row r="144" spans="1:73" x14ac:dyDescent="0.25">
      <c r="A144" s="1096"/>
      <c r="B144" s="1096"/>
      <c r="C144" s="1120"/>
      <c r="D144" s="1100"/>
      <c r="E144" s="1113"/>
      <c r="F144" s="1113"/>
      <c r="G144" s="1113"/>
      <c r="H144" s="1113"/>
      <c r="I144" s="1113"/>
      <c r="J144" s="1113"/>
      <c r="K144" s="1113"/>
      <c r="L144" s="1113"/>
      <c r="M144" s="1113"/>
      <c r="N144" s="1113"/>
      <c r="O144" s="1113"/>
      <c r="P144" s="1113"/>
      <c r="Q144" s="1113"/>
      <c r="R144" s="1113"/>
      <c r="S144" s="1113"/>
      <c r="T144" s="1096"/>
      <c r="U144" s="1096"/>
      <c r="V144" s="1096"/>
      <c r="W144" s="1096"/>
      <c r="X144" s="1096"/>
      <c r="Y144" s="1096"/>
      <c r="Z144" s="1096"/>
      <c r="AA144" s="1096"/>
      <c r="AB144" s="1096"/>
      <c r="AC144" s="1096"/>
      <c r="AD144" s="1096"/>
      <c r="AE144" s="1096"/>
      <c r="AF144" s="1096"/>
      <c r="AG144" s="1096"/>
      <c r="AH144" s="1096"/>
      <c r="AI144" s="1096"/>
      <c r="AJ144" s="1096"/>
      <c r="AK144" s="1096"/>
      <c r="AL144" s="1096"/>
      <c r="AM144" s="1096"/>
      <c r="AN144" s="1096"/>
      <c r="AO144" s="1096"/>
      <c r="AP144" s="1096"/>
      <c r="AQ144" s="1096"/>
      <c r="AR144" s="1096"/>
      <c r="AS144" s="1096"/>
      <c r="AT144" s="1096"/>
      <c r="AU144" s="1096"/>
      <c r="AV144" s="1096"/>
      <c r="AW144" s="1096"/>
      <c r="AX144" s="1096"/>
      <c r="AY144" s="1096"/>
      <c r="AZ144" s="1096"/>
      <c r="BA144" s="1096"/>
      <c r="BB144" s="1096"/>
      <c r="BC144" s="1096"/>
      <c r="BD144" s="1096"/>
      <c r="BE144" s="1096"/>
      <c r="BF144" s="1096"/>
      <c r="BG144" s="1096"/>
      <c r="BH144" s="1096"/>
      <c r="BI144" s="1096"/>
      <c r="BJ144" s="1096"/>
      <c r="BK144" s="1096"/>
      <c r="BL144" s="1096"/>
      <c r="BM144" s="1096"/>
      <c r="BN144" s="1096"/>
      <c r="BO144" s="1096"/>
      <c r="BP144" s="1096"/>
      <c r="BQ144" s="1096"/>
      <c r="BR144" s="1096"/>
      <c r="BS144" s="1096"/>
      <c r="BT144" s="1096"/>
      <c r="BU144" s="1096"/>
    </row>
    <row r="145" spans="1:73" x14ac:dyDescent="0.25">
      <c r="A145" s="1096"/>
      <c r="B145" s="1096"/>
      <c r="C145" s="1120">
        <v>7</v>
      </c>
      <c r="D145" s="1100" t="str">
        <f t="shared" ref="D145:G145" ca="1" si="72">OFFSET(D$76,MATCH($C145,$N$101:$N$107,0)*3-2,0)</f>
        <v>Utilities Consumption (% of baseline) = 95%</v>
      </c>
      <c r="E145" s="1113">
        <f t="shared" ca="1" si="72"/>
        <v>1.3133682561254809</v>
      </c>
      <c r="F145" s="1113">
        <f t="shared" ca="1" si="72"/>
        <v>0</v>
      </c>
      <c r="G145" s="1113">
        <f t="shared" ca="1" si="72"/>
        <v>6.0102079727676302E-4</v>
      </c>
      <c r="H145" s="1113"/>
      <c r="I145" s="1113"/>
      <c r="J145" s="1113"/>
      <c r="K145" s="1113"/>
      <c r="L145" s="1113"/>
      <c r="M145" s="1113"/>
      <c r="N145" s="1113"/>
      <c r="O145" s="1113"/>
      <c r="P145" s="1113"/>
      <c r="Q145" s="1113"/>
      <c r="R145" s="1113"/>
      <c r="S145" s="1113"/>
      <c r="T145" s="1096"/>
      <c r="U145" s="1096"/>
      <c r="V145" s="1096"/>
      <c r="W145" s="1096"/>
      <c r="X145" s="1096"/>
      <c r="Y145" s="1096"/>
      <c r="Z145" s="1096"/>
      <c r="AA145" s="1096"/>
      <c r="AB145" s="1096"/>
      <c r="AC145" s="1096"/>
      <c r="AD145" s="1096"/>
      <c r="AE145" s="1096"/>
      <c r="AF145" s="1096"/>
      <c r="AG145" s="1096"/>
      <c r="AH145" s="1096"/>
      <c r="AI145" s="1096"/>
      <c r="AJ145" s="1096"/>
      <c r="AK145" s="1096"/>
      <c r="AL145" s="1096"/>
      <c r="AM145" s="1096"/>
      <c r="AN145" s="1096"/>
      <c r="AO145" s="1096"/>
      <c r="AP145" s="1096"/>
      <c r="AQ145" s="1096"/>
      <c r="AR145" s="1096"/>
      <c r="AS145" s="1096"/>
      <c r="AT145" s="1096"/>
      <c r="AU145" s="1096"/>
      <c r="AV145" s="1096"/>
      <c r="AW145" s="1096"/>
      <c r="AX145" s="1096"/>
      <c r="AY145" s="1096"/>
      <c r="AZ145" s="1096"/>
      <c r="BA145" s="1096"/>
      <c r="BB145" s="1096"/>
      <c r="BC145" s="1096"/>
      <c r="BD145" s="1096"/>
      <c r="BE145" s="1096"/>
      <c r="BF145" s="1096"/>
      <c r="BG145" s="1096"/>
      <c r="BH145" s="1096"/>
      <c r="BI145" s="1096"/>
      <c r="BJ145" s="1096"/>
      <c r="BK145" s="1096"/>
      <c r="BL145" s="1096"/>
      <c r="BM145" s="1096"/>
      <c r="BN145" s="1096"/>
      <c r="BO145" s="1096"/>
      <c r="BP145" s="1096"/>
      <c r="BQ145" s="1096"/>
      <c r="BR145" s="1096"/>
      <c r="BS145" s="1096"/>
      <c r="BT145" s="1096"/>
      <c r="BU145" s="1096"/>
    </row>
    <row r="146" spans="1:73" x14ac:dyDescent="0.25">
      <c r="A146" s="1096"/>
      <c r="B146" s="1096"/>
      <c r="C146" s="1120"/>
      <c r="D146" s="1100"/>
      <c r="E146" s="1113"/>
      <c r="F146" s="1113"/>
      <c r="G146" s="1113"/>
      <c r="H146" s="1113">
        <f t="shared" ref="H146:S146" ca="1" si="73">OFFSET(H$76,MATCH($C145,$N$101:$N$107,0)*3-2,0)</f>
        <v>5.5266169313149496E-2</v>
      </c>
      <c r="I146" s="1113">
        <f t="shared" ca="1" si="73"/>
        <v>7.7619458215004659E-3</v>
      </c>
      <c r="J146" s="1113">
        <f t="shared" ca="1" si="73"/>
        <v>1.6207601951771823E-2</v>
      </c>
      <c r="K146" s="1113">
        <f t="shared" ca="1" si="73"/>
        <v>4.4939791076757435E-4</v>
      </c>
      <c r="L146" s="1113">
        <f t="shared" ca="1" si="73"/>
        <v>5.9924728859570725E-4</v>
      </c>
      <c r="M146" s="1113">
        <f t="shared" ca="1" si="73"/>
        <v>6.0570412267480507E-2</v>
      </c>
      <c r="N146" s="1113">
        <f t="shared" ca="1" si="73"/>
        <v>1.0323787971615324</v>
      </c>
      <c r="O146" s="1113">
        <f t="shared" ca="1" si="73"/>
        <v>0</v>
      </c>
      <c r="P146" s="1113">
        <f t="shared" ca="1" si="73"/>
        <v>9.5300452237153138E-2</v>
      </c>
      <c r="Q146" s="1113">
        <f t="shared" ca="1" si="73"/>
        <v>3.6306116293509466E-2</v>
      </c>
      <c r="R146" s="1113">
        <f t="shared" ca="1" si="73"/>
        <v>7.4981830995544023E-3</v>
      </c>
      <c r="S146" s="1113">
        <f t="shared" ca="1" si="73"/>
        <v>1.6309535777419199E-3</v>
      </c>
      <c r="T146" s="1096"/>
      <c r="U146" s="1096"/>
      <c r="V146" s="1096"/>
      <c r="W146" s="1096"/>
      <c r="X146" s="1096"/>
      <c r="Y146" s="1096"/>
      <c r="Z146" s="1096"/>
      <c r="AA146" s="1096"/>
      <c r="AB146" s="1096"/>
      <c r="AC146" s="1096"/>
      <c r="AD146" s="1096"/>
      <c r="AE146" s="1096"/>
      <c r="AF146" s="1096"/>
      <c r="AG146" s="1096"/>
      <c r="AH146" s="1096"/>
      <c r="AI146" s="1096"/>
      <c r="AJ146" s="1096"/>
      <c r="AK146" s="1096"/>
      <c r="AL146" s="1096"/>
      <c r="AM146" s="1096"/>
      <c r="AN146" s="1096"/>
      <c r="AO146" s="1096"/>
      <c r="AP146" s="1096"/>
      <c r="AQ146" s="1096"/>
      <c r="AR146" s="1096"/>
      <c r="AS146" s="1096"/>
      <c r="AT146" s="1096"/>
      <c r="AU146" s="1096"/>
      <c r="AV146" s="1096"/>
      <c r="AW146" s="1096"/>
      <c r="AX146" s="1096"/>
      <c r="AY146" s="1096"/>
      <c r="AZ146" s="1096"/>
      <c r="BA146" s="1096"/>
      <c r="BB146" s="1096"/>
      <c r="BC146" s="1096"/>
      <c r="BD146" s="1096"/>
      <c r="BE146" s="1096"/>
      <c r="BF146" s="1096"/>
      <c r="BG146" s="1096"/>
      <c r="BH146" s="1096"/>
      <c r="BI146" s="1096"/>
      <c r="BJ146" s="1096"/>
      <c r="BK146" s="1096"/>
      <c r="BL146" s="1096"/>
      <c r="BM146" s="1096"/>
      <c r="BN146" s="1096"/>
      <c r="BO146" s="1096"/>
      <c r="BP146" s="1096"/>
      <c r="BQ146" s="1096"/>
      <c r="BR146" s="1096"/>
      <c r="BS146" s="1096"/>
      <c r="BT146" s="1096"/>
      <c r="BU146" s="1096"/>
    </row>
    <row r="147" spans="1:73" x14ac:dyDescent="0.25">
      <c r="A147" s="1096"/>
      <c r="B147" s="1096"/>
      <c r="C147" s="1120">
        <v>7</v>
      </c>
      <c r="D147" s="1100" t="str">
        <f t="shared" ref="D147:G147" ca="1" si="74">OFFSET(D$76,MATCH($C147,$N$101:$N$107,0)*3,0)</f>
        <v>Utilities Consumption (% of baseline) = 105%</v>
      </c>
      <c r="E147" s="1113">
        <f t="shared" ca="1" si="74"/>
        <v>1.3182948383461572</v>
      </c>
      <c r="F147" s="1113">
        <f t="shared" ca="1" si="74"/>
        <v>0</v>
      </c>
      <c r="G147" s="1113">
        <f t="shared" ca="1" si="74"/>
        <v>6.0102079727676302E-4</v>
      </c>
      <c r="H147" s="1113"/>
      <c r="I147" s="1113"/>
      <c r="J147" s="1113"/>
      <c r="K147" s="1113"/>
      <c r="L147" s="1113"/>
      <c r="M147" s="1113"/>
      <c r="N147" s="1113"/>
      <c r="O147" s="1113"/>
      <c r="P147" s="1113"/>
      <c r="Q147" s="1113"/>
      <c r="R147" s="1113"/>
      <c r="S147" s="1113"/>
      <c r="T147" s="1096"/>
      <c r="U147" s="1096"/>
      <c r="V147" s="1096"/>
      <c r="W147" s="1096"/>
      <c r="X147" s="1096"/>
      <c r="Y147" s="1096"/>
      <c r="Z147" s="1096"/>
      <c r="AA147" s="1096"/>
      <c r="AB147" s="1096"/>
      <c r="AC147" s="1096"/>
      <c r="AD147" s="1096"/>
      <c r="AE147" s="1096"/>
      <c r="AF147" s="1096"/>
      <c r="AG147" s="1096"/>
      <c r="AH147" s="1096"/>
      <c r="AI147" s="1096"/>
      <c r="AJ147" s="1096"/>
      <c r="AK147" s="1096"/>
      <c r="AL147" s="1096"/>
      <c r="AM147" s="1096"/>
      <c r="AN147" s="1096"/>
      <c r="AO147" s="1096"/>
      <c r="AP147" s="1096"/>
      <c r="AQ147" s="1096"/>
      <c r="AR147" s="1096"/>
      <c r="AS147" s="1096"/>
      <c r="AT147" s="1096"/>
      <c r="AU147" s="1096"/>
      <c r="AV147" s="1096"/>
      <c r="AW147" s="1096"/>
      <c r="AX147" s="1096"/>
      <c r="AY147" s="1096"/>
      <c r="AZ147" s="1096"/>
      <c r="BA147" s="1096"/>
      <c r="BB147" s="1096"/>
      <c r="BC147" s="1096"/>
      <c r="BD147" s="1096"/>
      <c r="BE147" s="1096"/>
      <c r="BF147" s="1096"/>
      <c r="BG147" s="1096"/>
      <c r="BH147" s="1096"/>
      <c r="BI147" s="1096"/>
      <c r="BJ147" s="1096"/>
      <c r="BK147" s="1096"/>
      <c r="BL147" s="1096"/>
      <c r="BM147" s="1096"/>
      <c r="BN147" s="1096"/>
      <c r="BO147" s="1096"/>
      <c r="BP147" s="1096"/>
      <c r="BQ147" s="1096"/>
      <c r="BR147" s="1096"/>
      <c r="BS147" s="1096"/>
      <c r="BT147" s="1096"/>
      <c r="BU147" s="1096"/>
    </row>
    <row r="148" spans="1:73" x14ac:dyDescent="0.25">
      <c r="A148" s="1096"/>
      <c r="B148" s="1096"/>
      <c r="C148" s="1100"/>
      <c r="D148" s="1100"/>
      <c r="E148" s="1100"/>
      <c r="F148" s="1100"/>
      <c r="G148" s="1100"/>
      <c r="H148" s="1113">
        <f t="shared" ref="H148:S148" ca="1" si="75">OFFSET(H$76,MATCH($C147,$N$101:$N$107,0)*3,0)</f>
        <v>5.5266169313149496E-2</v>
      </c>
      <c r="I148" s="1113">
        <f t="shared" ca="1" si="75"/>
        <v>7.7619458215004659E-3</v>
      </c>
      <c r="J148" s="1113">
        <f t="shared" ca="1" si="75"/>
        <v>1.627361523639867E-2</v>
      </c>
      <c r="K148" s="1113">
        <f t="shared" ca="1" si="75"/>
        <v>4.4939791076757435E-4</v>
      </c>
      <c r="L148" s="1113">
        <f t="shared" ca="1" si="75"/>
        <v>5.9924728859570725E-4</v>
      </c>
      <c r="M148" s="1113">
        <f t="shared" ca="1" si="75"/>
        <v>6.0570412267480507E-2</v>
      </c>
      <c r="N148" s="1113">
        <f t="shared" ca="1" si="75"/>
        <v>1.0323787971615324</v>
      </c>
      <c r="O148" s="1113">
        <f t="shared" ca="1" si="75"/>
        <v>0</v>
      </c>
      <c r="P148" s="1113">
        <f t="shared" ca="1" si="75"/>
        <v>0.10013813964955169</v>
      </c>
      <c r="Q148" s="1113">
        <f t="shared" ca="1" si="75"/>
        <v>3.6306116293509466E-2</v>
      </c>
      <c r="R148" s="1113">
        <f t="shared" ca="1" si="75"/>
        <v>7.5210646232050614E-3</v>
      </c>
      <c r="S148" s="1113">
        <f t="shared" ca="1" si="75"/>
        <v>1.6309535777419199E-3</v>
      </c>
      <c r="T148" s="1096"/>
      <c r="U148" s="1096"/>
      <c r="V148" s="1096"/>
      <c r="W148" s="1096"/>
      <c r="X148" s="1096"/>
      <c r="Y148" s="1096"/>
      <c r="Z148" s="1096"/>
      <c r="AA148" s="1096"/>
      <c r="AB148" s="1096"/>
      <c r="AC148" s="1096"/>
      <c r="AD148" s="1096"/>
      <c r="AE148" s="1096"/>
      <c r="AF148" s="1096"/>
      <c r="AG148" s="1096"/>
      <c r="AH148" s="1096"/>
      <c r="AI148" s="1096"/>
      <c r="AJ148" s="1096"/>
      <c r="AK148" s="1096"/>
      <c r="AL148" s="1096"/>
      <c r="AM148" s="1096"/>
      <c r="AN148" s="1096"/>
      <c r="AO148" s="1096"/>
      <c r="AP148" s="1096"/>
      <c r="AQ148" s="1096"/>
      <c r="AR148" s="1096"/>
      <c r="AS148" s="1096"/>
      <c r="AT148" s="1096"/>
      <c r="AU148" s="1096"/>
      <c r="AV148" s="1096"/>
      <c r="AW148" s="1096"/>
      <c r="AX148" s="1096"/>
      <c r="AY148" s="1096"/>
      <c r="AZ148" s="1096"/>
      <c r="BA148" s="1096"/>
      <c r="BB148" s="1096"/>
      <c r="BC148" s="1096"/>
      <c r="BD148" s="1096"/>
      <c r="BE148" s="1096"/>
      <c r="BF148" s="1096"/>
      <c r="BG148" s="1096"/>
      <c r="BH148" s="1096"/>
      <c r="BI148" s="1096"/>
      <c r="BJ148" s="1096"/>
      <c r="BK148" s="1096"/>
      <c r="BL148" s="1096"/>
      <c r="BM148" s="1096"/>
      <c r="BN148" s="1096"/>
      <c r="BO148" s="1096"/>
      <c r="BP148" s="1096"/>
      <c r="BQ148" s="1096"/>
      <c r="BR148" s="1096"/>
      <c r="BS148" s="1096"/>
      <c r="BT148" s="1096"/>
      <c r="BU148" s="1096"/>
    </row>
    <row r="149" spans="1:73" x14ac:dyDescent="0.25">
      <c r="A149" s="1096"/>
      <c r="B149" s="1096"/>
      <c r="C149" s="1096"/>
      <c r="D149" s="1096"/>
      <c r="E149" s="1096"/>
      <c r="F149" s="1096"/>
      <c r="G149" s="1096"/>
      <c r="H149" s="1096"/>
      <c r="I149" s="1096"/>
      <c r="J149" s="1096"/>
      <c r="K149" s="1096"/>
      <c r="L149" s="1096"/>
      <c r="M149" s="1096"/>
      <c r="N149" s="1096"/>
      <c r="O149" s="1096"/>
      <c r="P149" s="1096"/>
      <c r="Q149" s="1096"/>
      <c r="R149" s="1096"/>
      <c r="S149" s="1096"/>
      <c r="T149" s="1096"/>
      <c r="U149" s="1096"/>
      <c r="V149" s="1096"/>
      <c r="W149" s="1096"/>
      <c r="X149" s="1096"/>
      <c r="Y149" s="1096"/>
      <c r="Z149" s="1096"/>
      <c r="AA149" s="1096"/>
      <c r="AB149" s="1096"/>
      <c r="AC149" s="1096"/>
      <c r="AD149" s="1096"/>
      <c r="AE149" s="1096"/>
      <c r="AF149" s="1096"/>
      <c r="AG149" s="1096"/>
      <c r="AH149" s="1096"/>
      <c r="AI149" s="1096"/>
      <c r="AJ149" s="1096"/>
      <c r="AK149" s="1096"/>
      <c r="AL149" s="1096"/>
      <c r="AM149" s="1096"/>
      <c r="AN149" s="1096"/>
      <c r="AO149" s="1096"/>
      <c r="AP149" s="1096"/>
      <c r="AQ149" s="1096"/>
      <c r="AR149" s="1096"/>
      <c r="AS149" s="1096"/>
      <c r="AT149" s="1096"/>
      <c r="AU149" s="1096"/>
      <c r="AV149" s="1096"/>
      <c r="AW149" s="1096"/>
      <c r="AX149" s="1096"/>
      <c r="AY149" s="1096"/>
      <c r="AZ149" s="1096"/>
      <c r="BA149" s="1096"/>
      <c r="BB149" s="1096"/>
      <c r="BC149" s="1096"/>
      <c r="BD149" s="1096"/>
      <c r="BE149" s="1096"/>
      <c r="BF149" s="1096"/>
      <c r="BG149" s="1096"/>
      <c r="BH149" s="1096"/>
      <c r="BI149" s="1096"/>
      <c r="BJ149" s="1096"/>
      <c r="BK149" s="1096"/>
      <c r="BL149" s="1096"/>
      <c r="BM149" s="1096"/>
      <c r="BN149" s="1096"/>
      <c r="BO149" s="1096"/>
      <c r="BP149" s="1096"/>
      <c r="BQ149" s="1096"/>
      <c r="BR149" s="1096"/>
      <c r="BS149" s="1096"/>
      <c r="BT149" s="1096"/>
      <c r="BU149" s="1096"/>
    </row>
    <row r="150" spans="1:73" x14ac:dyDescent="0.25">
      <c r="A150" s="1096"/>
      <c r="B150" s="1096"/>
      <c r="C150" s="1096"/>
      <c r="D150" s="1096"/>
      <c r="E150" s="1096"/>
      <c r="F150" s="1096"/>
      <c r="G150" s="1096"/>
      <c r="H150" s="1096"/>
      <c r="I150" s="1096"/>
      <c r="J150" s="1096"/>
      <c r="K150" s="1096"/>
      <c r="L150" s="1096"/>
      <c r="M150" s="1096"/>
      <c r="N150" s="1096"/>
      <c r="O150" s="1096"/>
      <c r="P150" s="1096"/>
      <c r="Q150" s="1096"/>
      <c r="R150" s="1096"/>
      <c r="S150" s="1096"/>
      <c r="T150" s="1096"/>
      <c r="U150" s="1096"/>
      <c r="V150" s="1096"/>
      <c r="W150" s="1096"/>
      <c r="X150" s="1096"/>
      <c r="Y150" s="1096"/>
      <c r="Z150" s="1096"/>
      <c r="AA150" s="1096"/>
      <c r="AB150" s="1096"/>
      <c r="AC150" s="1096"/>
      <c r="AD150" s="1096"/>
      <c r="AE150" s="1096"/>
      <c r="AF150" s="1096"/>
      <c r="AG150" s="1096"/>
      <c r="AH150" s="1096"/>
      <c r="AI150" s="1096"/>
      <c r="AJ150" s="1096"/>
      <c r="AK150" s="1096"/>
      <c r="AL150" s="1096"/>
      <c r="AM150" s="1096"/>
      <c r="AN150" s="1096"/>
      <c r="AO150" s="1096"/>
      <c r="AP150" s="1096"/>
      <c r="AQ150" s="1096"/>
      <c r="AR150" s="1096"/>
      <c r="AS150" s="1096"/>
      <c r="AT150" s="1096"/>
      <c r="AU150" s="1096"/>
      <c r="AV150" s="1096"/>
      <c r="AW150" s="1096"/>
      <c r="AX150" s="1096"/>
      <c r="AY150" s="1096"/>
      <c r="AZ150" s="1096"/>
      <c r="BA150" s="1096"/>
      <c r="BB150" s="1096"/>
      <c r="BC150" s="1096"/>
      <c r="BD150" s="1096"/>
      <c r="BE150" s="1096"/>
      <c r="BF150" s="1096"/>
      <c r="BG150" s="1096"/>
      <c r="BH150" s="1096"/>
      <c r="BI150" s="1096"/>
      <c r="BJ150" s="1096"/>
      <c r="BK150" s="1096"/>
      <c r="BL150" s="1096"/>
      <c r="BM150" s="1096"/>
      <c r="BN150" s="1096"/>
      <c r="BO150" s="1096"/>
      <c r="BP150" s="1096"/>
      <c r="BQ150" s="1096"/>
      <c r="BR150" s="1096"/>
      <c r="BS150" s="1096"/>
      <c r="BT150" s="1096"/>
      <c r="BU150" s="1096"/>
    </row>
    <row r="151" spans="1:73" x14ac:dyDescent="0.25">
      <c r="A151" s="1096"/>
      <c r="B151" s="1096"/>
      <c r="C151" s="1096"/>
      <c r="D151" s="1096"/>
      <c r="E151" s="1096"/>
      <c r="F151" s="1096"/>
      <c r="G151" s="1096"/>
      <c r="H151" s="1096"/>
      <c r="I151" s="1096"/>
      <c r="J151" s="1096"/>
      <c r="K151" s="1096"/>
      <c r="L151" s="1096"/>
      <c r="M151" s="1096"/>
      <c r="N151" s="1096"/>
      <c r="O151" s="1096"/>
      <c r="P151" s="1096"/>
      <c r="Q151" s="1096"/>
      <c r="R151" s="1096"/>
      <c r="S151" s="1096"/>
      <c r="T151" s="1096"/>
      <c r="U151" s="1096"/>
      <c r="V151" s="1096"/>
      <c r="W151" s="1096"/>
      <c r="X151" s="1096"/>
      <c r="Y151" s="1096"/>
      <c r="Z151" s="1096"/>
      <c r="AA151" s="1096"/>
      <c r="AB151" s="1096"/>
      <c r="AC151" s="1096"/>
      <c r="AD151" s="1096"/>
      <c r="AE151" s="1096"/>
      <c r="AF151" s="1096"/>
      <c r="AG151" s="1096"/>
      <c r="AH151" s="1096"/>
      <c r="AI151" s="1096"/>
      <c r="AJ151" s="1096"/>
      <c r="AK151" s="1096"/>
      <c r="AL151" s="1096"/>
      <c r="AM151" s="1096"/>
      <c r="AN151" s="1096"/>
      <c r="AO151" s="1096"/>
      <c r="AP151" s="1096"/>
      <c r="AQ151" s="1096"/>
      <c r="AR151" s="1096"/>
      <c r="AS151" s="1096"/>
    </row>
    <row r="152" spans="1:73" ht="13" x14ac:dyDescent="0.3">
      <c r="A152" s="1096"/>
      <c r="B152" s="1098" t="s">
        <v>1162</v>
      </c>
      <c r="C152" s="1096"/>
      <c r="D152" s="1096"/>
      <c r="E152" s="1096"/>
      <c r="F152" s="1096"/>
      <c r="G152" s="1096"/>
      <c r="H152" s="1096"/>
      <c r="I152" s="1096"/>
      <c r="J152" s="1096"/>
      <c r="K152" s="1096"/>
      <c r="L152" s="1096"/>
      <c r="M152" s="1096"/>
      <c r="N152" s="1096"/>
      <c r="O152" s="1096"/>
      <c r="P152" s="1096"/>
      <c r="Q152" s="1096"/>
      <c r="R152" s="1096"/>
      <c r="S152" s="1096"/>
      <c r="T152" s="1096"/>
      <c r="U152" s="1096"/>
      <c r="V152" s="1096"/>
      <c r="W152" s="1096"/>
      <c r="X152" s="1096"/>
      <c r="Y152" s="1096"/>
      <c r="Z152" s="1096"/>
      <c r="AA152" s="1096"/>
      <c r="AB152" s="1096"/>
      <c r="AC152" s="1096"/>
      <c r="AD152" s="1096"/>
      <c r="AE152" s="1096"/>
      <c r="AF152" s="1096"/>
      <c r="AG152" s="1096"/>
      <c r="AH152" s="1096"/>
      <c r="AI152" s="1096"/>
      <c r="AJ152" s="1096"/>
      <c r="AK152" s="1096"/>
      <c r="AL152" s="1096"/>
      <c r="AM152" s="1096"/>
      <c r="AN152" s="1096"/>
      <c r="AO152" s="1096"/>
      <c r="AP152" s="1096"/>
      <c r="AQ152" s="1096"/>
      <c r="AR152" s="1096"/>
      <c r="AS152" s="1096"/>
    </row>
    <row r="153" spans="1:73" ht="13" x14ac:dyDescent="0.3">
      <c r="A153" s="1096"/>
      <c r="B153" s="1096"/>
      <c r="C153" s="1096"/>
      <c r="D153" s="1107" t="s">
        <v>1166</v>
      </c>
      <c r="E153" s="1107"/>
      <c r="F153" s="1107"/>
      <c r="G153" s="1107"/>
      <c r="H153" s="1107"/>
      <c r="I153" s="1107"/>
      <c r="J153" s="1096"/>
      <c r="K153" s="1096"/>
      <c r="L153" s="1096"/>
      <c r="M153" s="1096"/>
      <c r="N153" s="1096"/>
      <c r="O153" s="1096"/>
      <c r="P153" s="1096"/>
      <c r="Q153" s="1096"/>
      <c r="R153" s="1096"/>
      <c r="S153" s="1096"/>
      <c r="T153" s="1096"/>
      <c r="U153" s="1096"/>
      <c r="V153" s="1096"/>
      <c r="W153" s="1096"/>
      <c r="X153" s="1096"/>
      <c r="Y153" s="1096"/>
      <c r="Z153" s="1096"/>
      <c r="AA153" s="1096"/>
      <c r="AB153" s="1096"/>
      <c r="AC153" s="1096"/>
      <c r="AD153" s="1096"/>
      <c r="AE153" s="1096"/>
      <c r="AF153" s="1096"/>
      <c r="AG153" s="1096"/>
      <c r="AH153" s="1096"/>
      <c r="AI153" s="1096"/>
      <c r="AJ153" s="1096"/>
      <c r="AK153" s="1096"/>
      <c r="AL153" s="1096"/>
      <c r="AM153" s="1096"/>
      <c r="AN153" s="1096"/>
      <c r="AO153" s="1096"/>
      <c r="AP153" s="1096"/>
      <c r="AQ153" s="1096"/>
      <c r="AR153" s="1096"/>
      <c r="AS153" s="1096"/>
    </row>
    <row r="154" spans="1:73" ht="26" x14ac:dyDescent="0.3">
      <c r="A154" s="1096"/>
      <c r="B154" s="1098"/>
      <c r="C154" s="1096"/>
      <c r="D154" s="1107" t="s">
        <v>1165</v>
      </c>
      <c r="E154" s="1107" t="s">
        <v>1171</v>
      </c>
      <c r="F154" s="1107" t="s">
        <v>1167</v>
      </c>
      <c r="G154" s="1107" t="s">
        <v>1168</v>
      </c>
      <c r="H154" s="1107" t="s">
        <v>1169</v>
      </c>
      <c r="I154" s="1107" t="s">
        <v>1170</v>
      </c>
      <c r="J154" s="1096"/>
      <c r="K154" s="1107" t="s">
        <v>1200</v>
      </c>
      <c r="L154" s="1107" t="s">
        <v>1198</v>
      </c>
      <c r="M154" s="1107" t="s">
        <v>1199</v>
      </c>
      <c r="N154" s="1107" t="s">
        <v>1201</v>
      </c>
      <c r="O154" s="1096"/>
      <c r="P154" s="1096"/>
      <c r="Q154" s="1096"/>
      <c r="R154" s="1096"/>
      <c r="S154" s="1096"/>
      <c r="T154" s="1096"/>
      <c r="U154" s="1096"/>
      <c r="V154" s="1096"/>
      <c r="W154" s="1096"/>
      <c r="X154" s="1096"/>
      <c r="Y154" s="1096"/>
      <c r="Z154" s="1096"/>
      <c r="AA154" s="1096"/>
      <c r="AB154" s="1096"/>
      <c r="AC154" s="1096"/>
      <c r="AD154" s="1096"/>
      <c r="AE154" s="1096"/>
      <c r="AF154" s="1096"/>
      <c r="AG154" s="1096"/>
      <c r="AH154" s="1096"/>
      <c r="AI154" s="1096"/>
      <c r="AJ154" s="1096"/>
      <c r="AK154" s="1096"/>
      <c r="AL154" s="1096"/>
      <c r="AM154" s="1096"/>
      <c r="AN154" s="1096"/>
      <c r="AO154" s="1096"/>
      <c r="AP154" s="1096"/>
      <c r="AQ154" s="1096"/>
      <c r="AR154" s="1096"/>
      <c r="AS154" s="1096"/>
    </row>
    <row r="155" spans="1:73" ht="13" x14ac:dyDescent="0.3">
      <c r="A155" s="1096"/>
      <c r="B155" s="1098" t="s">
        <v>1164</v>
      </c>
      <c r="C155" s="1096">
        <v>1</v>
      </c>
      <c r="D155" s="1099" t="s">
        <v>1179</v>
      </c>
      <c r="E155" s="1113">
        <f ca="1">+K48+C155/10000000000</f>
        <v>1.3158315473358189</v>
      </c>
      <c r="F155" s="1100">
        <f ca="1">+RANK(E155,$E$155:$E$157)</f>
        <v>1</v>
      </c>
      <c r="G155" s="1105">
        <v>1</v>
      </c>
      <c r="H155" s="1100" t="str">
        <f ca="1">OFFSET($D$154,MATCH($G155,$F$155:$F$157,0),0)</f>
        <v>Cost of Hydrogen</v>
      </c>
      <c r="I155" s="1115">
        <f ca="1">OFFSET($E$154,MATCH($G155,$F$155:$F$157,0),0)-OFFSET($C$154,MATCH($G155,$F$155:$F$157,0),0)/10000000000</f>
        <v>1.3158315472358189</v>
      </c>
      <c r="J155" s="1096"/>
      <c r="K155" s="1100" t="str">
        <f ca="1">+H155</f>
        <v>Cost of Hydrogen</v>
      </c>
      <c r="L155" s="1113">
        <f ca="1">+I155</f>
        <v>1.3158315472358189</v>
      </c>
      <c r="M155" s="1100"/>
      <c r="N155" s="1100" t="str">
        <f ca="1">+IF(L155&gt;0,K155,"")</f>
        <v>Cost of Hydrogen</v>
      </c>
      <c r="O155" s="1096"/>
      <c r="P155" s="1096"/>
      <c r="Q155" s="1096"/>
      <c r="R155" s="1096"/>
      <c r="S155" s="1096"/>
      <c r="T155" s="1096"/>
      <c r="U155" s="1096"/>
      <c r="V155" s="1096"/>
      <c r="W155" s="1096"/>
      <c r="X155" s="1096"/>
      <c r="Y155" s="1096"/>
      <c r="Z155" s="1096"/>
      <c r="AA155" s="1096"/>
      <c r="AB155" s="1096"/>
      <c r="AC155" s="1096"/>
      <c r="AD155" s="1096"/>
      <c r="AE155" s="1096"/>
      <c r="AF155" s="1096"/>
      <c r="AG155" s="1096"/>
      <c r="AH155" s="1096"/>
      <c r="AI155" s="1096"/>
      <c r="AJ155" s="1096"/>
    </row>
    <row r="156" spans="1:73" ht="13" x14ac:dyDescent="0.3">
      <c r="A156" s="1096"/>
      <c r="B156" s="1098"/>
      <c r="C156" s="1096">
        <v>2</v>
      </c>
      <c r="D156" s="1100" t="str">
        <f>+F110</f>
        <v>Byproduct Sales</v>
      </c>
      <c r="E156" s="1113">
        <f ca="1">+L48+C156/10000000000</f>
        <v>2.0000000000000001E-10</v>
      </c>
      <c r="F156" s="1100">
        <f ca="1">+RANK(E156,$E$155:$E$157)</f>
        <v>3</v>
      </c>
      <c r="G156" s="1105">
        <v>2</v>
      </c>
      <c r="H156" s="1100" t="str">
        <f ca="1">OFFSET($D$154,MATCH($G156,$F$155:$F$157,0),0)</f>
        <v>Salvage Value</v>
      </c>
      <c r="I156" s="1115">
        <f ca="1">OFFSET($E$154,MATCH($G156,$F$155:$F$157,0),0)-OFFSET($C$154,MATCH($G156,$F$155:$F$157,0),0)/10000000000</f>
        <v>6.0102079727676302E-4</v>
      </c>
      <c r="J156" s="1096"/>
      <c r="K156" s="1100" t="str">
        <f t="shared" ref="K156:K170" ca="1" si="76">+H156</f>
        <v>Salvage Value</v>
      </c>
      <c r="L156" s="1113">
        <f t="shared" ref="L156:L157" ca="1" si="77">+I156</f>
        <v>6.0102079727676302E-4</v>
      </c>
      <c r="M156" s="1100"/>
      <c r="N156" s="1100" t="str">
        <f t="shared" ref="N156:N157" ca="1" si="78">+IF(L156&gt;0,K156,"")</f>
        <v>Salvage Value</v>
      </c>
      <c r="O156" s="1096"/>
      <c r="P156" s="1096"/>
      <c r="Q156" s="1096"/>
      <c r="R156" s="1096"/>
      <c r="S156" s="1096"/>
      <c r="T156" s="1096"/>
      <c r="U156" s="1096"/>
      <c r="V156" s="1096"/>
      <c r="W156" s="1096"/>
      <c r="X156" s="1096"/>
      <c r="Y156" s="1096"/>
      <c r="Z156" s="1096"/>
      <c r="AA156" s="1096"/>
      <c r="AB156" s="1096"/>
      <c r="AC156" s="1096"/>
      <c r="AD156" s="1096"/>
      <c r="AE156" s="1096"/>
      <c r="AF156" s="1096"/>
      <c r="AG156" s="1096"/>
      <c r="AH156" s="1096"/>
      <c r="AI156" s="1096"/>
      <c r="AJ156" s="1096"/>
    </row>
    <row r="157" spans="1:73" ht="13" x14ac:dyDescent="0.3">
      <c r="A157" s="1096"/>
      <c r="B157" s="1098"/>
      <c r="C157" s="1096">
        <v>3</v>
      </c>
      <c r="D157" s="1100" t="str">
        <f>+G110</f>
        <v>Salvage Value</v>
      </c>
      <c r="E157" s="1113">
        <f ca="1">+M48+C157/10000000000</f>
        <v>6.0102109727676301E-4</v>
      </c>
      <c r="F157" s="1100">
        <f ca="1">+RANK(E157,$E$155:$E$157)</f>
        <v>2</v>
      </c>
      <c r="G157" s="1105">
        <v>3</v>
      </c>
      <c r="H157" s="1100" t="str">
        <f ca="1">OFFSET($D$154,MATCH($G157,$F$155:$F$157,0),0)</f>
        <v>Byproduct Sales</v>
      </c>
      <c r="I157" s="1115">
        <f ca="1">OFFSET($E$154,MATCH($G157,$F$155:$F$157,0),0)-OFFSET($C$154,MATCH($G157,$F$155:$F$157,0),0)/10000000000</f>
        <v>0</v>
      </c>
      <c r="J157" s="1096"/>
      <c r="K157" s="1100" t="str">
        <f t="shared" ca="1" si="76"/>
        <v>Byproduct Sales</v>
      </c>
      <c r="L157" s="1113">
        <f t="shared" ca="1" si="77"/>
        <v>0</v>
      </c>
      <c r="M157" s="1100"/>
      <c r="N157" s="1100" t="str">
        <f t="shared" ca="1" si="78"/>
        <v/>
      </c>
      <c r="O157" s="1096"/>
      <c r="P157" s="1096"/>
      <c r="Q157" s="1096"/>
      <c r="R157" s="1096"/>
      <c r="S157" s="1096"/>
      <c r="T157" s="1096"/>
      <c r="U157" s="1096"/>
      <c r="V157" s="1096"/>
      <c r="W157" s="1096"/>
      <c r="X157" s="1096"/>
      <c r="Y157" s="1096"/>
      <c r="Z157" s="1096"/>
      <c r="AA157" s="1096"/>
      <c r="AB157" s="1096"/>
      <c r="AC157" s="1096"/>
      <c r="AD157" s="1096"/>
      <c r="AE157" s="1096"/>
      <c r="AF157" s="1096"/>
      <c r="AG157" s="1096"/>
      <c r="AH157" s="1096"/>
      <c r="AI157" s="1096"/>
      <c r="AJ157" s="1096"/>
    </row>
    <row r="158" spans="1:73" ht="13" x14ac:dyDescent="0.3">
      <c r="A158" s="1096"/>
      <c r="B158" s="1098"/>
      <c r="C158" s="1096"/>
      <c r="D158" s="1098"/>
      <c r="E158" s="1098"/>
      <c r="F158" s="1098"/>
      <c r="G158" s="1098"/>
      <c r="H158" s="1098"/>
      <c r="I158" s="1126"/>
      <c r="J158" s="1096"/>
      <c r="K158" s="1100"/>
      <c r="L158" s="1100"/>
      <c r="M158" s="1113"/>
      <c r="N158" s="1100" t="str">
        <f t="shared" ref="N158" si="79">+IF(L158&gt;0.01,K158,"")</f>
        <v/>
      </c>
      <c r="O158" s="1096"/>
      <c r="P158" s="1096"/>
      <c r="Q158" s="1096"/>
      <c r="R158" s="1096"/>
      <c r="S158" s="1096"/>
      <c r="T158" s="1096"/>
      <c r="U158" s="1096"/>
      <c r="V158" s="1096"/>
      <c r="W158" s="1096"/>
      <c r="X158" s="1096"/>
      <c r="Y158" s="1096"/>
      <c r="Z158" s="1096"/>
      <c r="AA158" s="1096"/>
      <c r="AB158" s="1096"/>
      <c r="AC158" s="1096"/>
      <c r="AD158" s="1096"/>
      <c r="AE158" s="1096"/>
      <c r="AF158" s="1096"/>
      <c r="AG158" s="1096"/>
      <c r="AH158" s="1096"/>
      <c r="AI158" s="1096"/>
      <c r="AJ158" s="1096"/>
    </row>
    <row r="159" spans="1:73" ht="13" x14ac:dyDescent="0.3">
      <c r="A159" s="1096"/>
      <c r="B159" s="1098" t="s">
        <v>1163</v>
      </c>
      <c r="C159" s="1096">
        <v>1</v>
      </c>
      <c r="D159" s="1100" t="str">
        <f>+H110</f>
        <v>Initial Equity Depreciable Capital</v>
      </c>
      <c r="E159" s="1113">
        <f ca="1">+N48+C159/10000000000</f>
        <v>5.5266169413149498E-2</v>
      </c>
      <c r="F159" s="1100">
        <f t="shared" ref="F159:F170" ca="1" si="80">+RANK(E159,$E$159:$E$170)</f>
        <v>4</v>
      </c>
      <c r="G159" s="1105">
        <v>1</v>
      </c>
      <c r="H159" s="1100" t="str">
        <f t="shared" ref="H159:H170" ca="1" si="81">OFFSET($D$158,MATCH($G159,$F$159:$F$170,0),0)</f>
        <v>Feedstock Cost</v>
      </c>
      <c r="I159" s="1115">
        <f t="shared" ref="I159:I170" ca="1" si="82">OFFSET($E$158,MATCH($G159,$F$159:$F$170,0),0)-OFFSET($C$158,MATCH($G159,$F$159:$F$170,0),0)/10000000000</f>
        <v>1.0323787971615324</v>
      </c>
      <c r="J159" s="1096"/>
      <c r="K159" s="1100" t="str">
        <f t="shared" ca="1" si="76"/>
        <v>Feedstock Cost</v>
      </c>
      <c r="L159" s="1100"/>
      <c r="M159" s="1113">
        <f ca="1">+I159</f>
        <v>1.0323787971615324</v>
      </c>
      <c r="N159" s="1100" t="str">
        <f ca="1">+IF(M159&gt;0,K159,"")</f>
        <v>Feedstock Cost</v>
      </c>
      <c r="O159" s="1096"/>
      <c r="P159" s="1096"/>
      <c r="Q159" s="1096"/>
      <c r="R159" s="1096"/>
      <c r="S159" s="1096"/>
      <c r="T159" s="1096"/>
      <c r="U159" s="1096"/>
      <c r="V159" s="1096"/>
      <c r="W159" s="1096"/>
      <c r="X159" s="1096"/>
      <c r="Y159" s="1096"/>
      <c r="Z159" s="1096"/>
      <c r="AA159" s="1096"/>
      <c r="AB159" s="1096"/>
      <c r="AC159" s="1096"/>
      <c r="AD159" s="1096"/>
      <c r="AE159" s="1096"/>
      <c r="AF159" s="1096"/>
      <c r="AG159" s="1096"/>
      <c r="AH159" s="1096"/>
      <c r="AI159" s="1096"/>
      <c r="AJ159" s="1096"/>
    </row>
    <row r="160" spans="1:73" x14ac:dyDescent="0.25">
      <c r="A160" s="1096"/>
      <c r="B160" s="1096"/>
      <c r="C160" s="1096">
        <f>+C159+1</f>
        <v>2</v>
      </c>
      <c r="D160" s="1100" t="str">
        <f>+I110</f>
        <v>Yearly Replacement Costs</v>
      </c>
      <c r="E160" s="1113">
        <f ca="1">+O48+C160/10000000000</f>
        <v>7.7619460215004659E-3</v>
      </c>
      <c r="F160" s="1100">
        <f t="shared" ca="1" si="80"/>
        <v>7</v>
      </c>
      <c r="G160" s="1105">
        <v>2</v>
      </c>
      <c r="H160" s="1100" t="str">
        <f t="shared" ca="1" si="81"/>
        <v>Other Variable Operating Costs</v>
      </c>
      <c r="I160" s="1115">
        <f t="shared" ca="1" si="82"/>
        <v>9.7719295943352394E-2</v>
      </c>
      <c r="J160" s="1096"/>
      <c r="K160" s="1100" t="str">
        <f t="shared" ca="1" si="76"/>
        <v>Other Variable Operating Costs</v>
      </c>
      <c r="L160" s="1100"/>
      <c r="M160" s="1113">
        <f t="shared" ref="M160:M170" ca="1" si="83">+I160</f>
        <v>9.7719295943352394E-2</v>
      </c>
      <c r="N160" s="1100" t="str">
        <f t="shared" ref="N160:N170" ca="1" si="84">+IF(M160&gt;0,K160,"")</f>
        <v>Other Variable Operating Costs</v>
      </c>
      <c r="O160" s="1096"/>
      <c r="P160" s="1096"/>
      <c r="Q160" s="1096"/>
      <c r="R160" s="1096"/>
      <c r="S160" s="1096"/>
      <c r="T160" s="1096"/>
      <c r="U160" s="1096"/>
      <c r="V160" s="1096"/>
      <c r="W160" s="1096"/>
      <c r="X160" s="1096"/>
      <c r="Y160" s="1096"/>
      <c r="Z160" s="1096"/>
      <c r="AA160" s="1096"/>
      <c r="AB160" s="1096"/>
      <c r="AC160" s="1096"/>
      <c r="AD160" s="1096"/>
      <c r="AE160" s="1096"/>
      <c r="AF160" s="1096"/>
      <c r="AG160" s="1096"/>
      <c r="AH160" s="1096"/>
      <c r="AI160" s="1096"/>
      <c r="AJ160" s="1096"/>
    </row>
    <row r="161" spans="1:36" x14ac:dyDescent="0.25">
      <c r="A161" s="1096"/>
      <c r="B161" s="1096"/>
      <c r="C161" s="1096">
        <f t="shared" ref="C161:C170" si="85">+C160+1</f>
        <v>3</v>
      </c>
      <c r="D161" s="1100" t="str">
        <f>+J110</f>
        <v>Cash for Working Capital Reserve</v>
      </c>
      <c r="E161" s="1113">
        <f ca="1">+P48+C161/10000000000</f>
        <v>1.624060889408524E-2</v>
      </c>
      <c r="F161" s="1100">
        <f t="shared" ca="1" si="80"/>
        <v>6</v>
      </c>
      <c r="G161" s="1105">
        <v>3</v>
      </c>
      <c r="H161" s="1100" t="str">
        <f t="shared" ca="1" si="81"/>
        <v>Fixed Operating Cost</v>
      </c>
      <c r="I161" s="1115">
        <f t="shared" ca="1" si="82"/>
        <v>6.0570412267480507E-2</v>
      </c>
      <c r="J161" s="1096"/>
      <c r="K161" s="1100" t="str">
        <f t="shared" ca="1" si="76"/>
        <v>Fixed Operating Cost</v>
      </c>
      <c r="L161" s="1100"/>
      <c r="M161" s="1113">
        <f t="shared" ca="1" si="83"/>
        <v>6.0570412267480507E-2</v>
      </c>
      <c r="N161" s="1100" t="str">
        <f t="shared" ca="1" si="84"/>
        <v>Fixed Operating Cost</v>
      </c>
      <c r="O161" s="1096"/>
      <c r="P161" s="1096"/>
      <c r="Q161" s="1096"/>
      <c r="R161" s="1096"/>
      <c r="S161" s="1096"/>
      <c r="T161" s="1096"/>
      <c r="U161" s="1096"/>
      <c r="V161" s="1096"/>
      <c r="W161" s="1096"/>
      <c r="X161" s="1096"/>
      <c r="Y161" s="1096"/>
      <c r="Z161" s="1096"/>
      <c r="AA161" s="1096"/>
      <c r="AB161" s="1096"/>
      <c r="AC161" s="1096"/>
      <c r="AD161" s="1096"/>
      <c r="AE161" s="1096"/>
      <c r="AF161" s="1096"/>
      <c r="AG161" s="1096"/>
      <c r="AH161" s="1096"/>
      <c r="AI161" s="1096"/>
      <c r="AJ161" s="1096"/>
    </row>
    <row r="162" spans="1:36" x14ac:dyDescent="0.25">
      <c r="A162" s="1096"/>
      <c r="B162" s="1096"/>
      <c r="C162" s="1096">
        <f t="shared" si="85"/>
        <v>4</v>
      </c>
      <c r="D162" s="1100" t="str">
        <f>+K110</f>
        <v>Other Non-Depreciable Capital Costs</v>
      </c>
      <c r="E162" s="1113">
        <f ca="1">+Q48+C162/10000000000</f>
        <v>4.4939831076757432E-4</v>
      </c>
      <c r="F162" s="1100">
        <f t="shared" ca="1" si="80"/>
        <v>11</v>
      </c>
      <c r="G162" s="1105">
        <v>4</v>
      </c>
      <c r="H162" s="1100" t="str">
        <f t="shared" ca="1" si="81"/>
        <v>Initial Equity Depreciable Capital</v>
      </c>
      <c r="I162" s="1115">
        <f t="shared" ca="1" si="82"/>
        <v>5.5266169313149496E-2</v>
      </c>
      <c r="J162" s="1096"/>
      <c r="K162" s="1100" t="str">
        <f t="shared" ca="1" si="76"/>
        <v>Initial Equity Depreciable Capital</v>
      </c>
      <c r="L162" s="1100"/>
      <c r="M162" s="1113">
        <f t="shared" ca="1" si="83"/>
        <v>5.5266169313149496E-2</v>
      </c>
      <c r="N162" s="1100" t="str">
        <f t="shared" ca="1" si="84"/>
        <v>Initial Equity Depreciable Capital</v>
      </c>
      <c r="O162" s="1096"/>
      <c r="P162" s="1096"/>
      <c r="Q162" s="1096"/>
      <c r="R162" s="1096"/>
      <c r="S162" s="1096"/>
      <c r="T162" s="1096"/>
      <c r="U162" s="1096"/>
      <c r="V162" s="1096"/>
      <c r="W162" s="1096"/>
      <c r="X162" s="1096"/>
      <c r="Y162" s="1096"/>
      <c r="Z162" s="1096"/>
      <c r="AA162" s="1096"/>
      <c r="AB162" s="1096"/>
      <c r="AC162" s="1096"/>
      <c r="AD162" s="1096"/>
      <c r="AE162" s="1096"/>
      <c r="AF162" s="1096"/>
      <c r="AG162" s="1096"/>
      <c r="AH162" s="1096"/>
      <c r="AI162" s="1096"/>
      <c r="AJ162" s="1096"/>
    </row>
    <row r="163" spans="1:36" x14ac:dyDescent="0.25">
      <c r="A163" s="1096"/>
      <c r="B163" s="1096"/>
      <c r="C163" s="1096">
        <f t="shared" si="85"/>
        <v>5</v>
      </c>
      <c r="D163" s="1100" t="str">
        <f>+L110</f>
        <v>Decommissioning Costs</v>
      </c>
      <c r="E163" s="1113">
        <f ca="1">+R48+C163/10000000000</f>
        <v>5.992477885957072E-4</v>
      </c>
      <c r="F163" s="1100">
        <f t="shared" ca="1" si="80"/>
        <v>10</v>
      </c>
      <c r="G163" s="1105">
        <v>5</v>
      </c>
      <c r="H163" s="1100" t="str">
        <f t="shared" ca="1" si="81"/>
        <v>Debt Interest</v>
      </c>
      <c r="I163" s="1115">
        <f t="shared" ca="1" si="82"/>
        <v>3.6306116293509466E-2</v>
      </c>
      <c r="J163" s="1096"/>
      <c r="K163" s="1100" t="str">
        <f t="shared" ca="1" si="76"/>
        <v>Debt Interest</v>
      </c>
      <c r="L163" s="1100"/>
      <c r="M163" s="1113">
        <f t="shared" ca="1" si="83"/>
        <v>3.6306116293509466E-2</v>
      </c>
      <c r="N163" s="1100" t="str">
        <f t="shared" ca="1" si="84"/>
        <v>Debt Interest</v>
      </c>
      <c r="O163" s="1096"/>
      <c r="P163" s="1096"/>
      <c r="Q163" s="1096"/>
      <c r="R163" s="1096"/>
      <c r="S163" s="1096"/>
      <c r="T163" s="1096"/>
      <c r="U163" s="1096"/>
      <c r="V163" s="1096"/>
      <c r="W163" s="1096"/>
      <c r="X163" s="1096"/>
      <c r="Y163" s="1096"/>
      <c r="Z163" s="1096"/>
      <c r="AA163" s="1096"/>
      <c r="AB163" s="1096"/>
      <c r="AC163" s="1096"/>
      <c r="AD163" s="1096"/>
      <c r="AE163" s="1096"/>
      <c r="AF163" s="1096"/>
      <c r="AG163" s="1096"/>
      <c r="AH163" s="1096"/>
      <c r="AI163" s="1096"/>
      <c r="AJ163" s="1096"/>
    </row>
    <row r="164" spans="1:36" x14ac:dyDescent="0.25">
      <c r="A164" s="1096"/>
      <c r="B164" s="1096"/>
      <c r="C164" s="1096">
        <f t="shared" si="85"/>
        <v>6</v>
      </c>
      <c r="D164" s="1100" t="str">
        <f>+M110</f>
        <v>Fixed Operating Cost</v>
      </c>
      <c r="E164" s="1113">
        <f ca="1">+S48+C164/10000000000</f>
        <v>6.0570412867480508E-2</v>
      </c>
      <c r="F164" s="1100">
        <f t="shared" ca="1" si="80"/>
        <v>3</v>
      </c>
      <c r="G164" s="1105">
        <v>6</v>
      </c>
      <c r="H164" s="1100" t="str">
        <f t="shared" ca="1" si="81"/>
        <v>Cash for Working Capital Reserve</v>
      </c>
      <c r="I164" s="1115">
        <f t="shared" ca="1" si="82"/>
        <v>1.6240608594085239E-2</v>
      </c>
      <c r="J164" s="1096"/>
      <c r="K164" s="1100" t="str">
        <f t="shared" ca="1" si="76"/>
        <v>Cash for Working Capital Reserve</v>
      </c>
      <c r="L164" s="1100"/>
      <c r="M164" s="1113">
        <f t="shared" ca="1" si="83"/>
        <v>1.6240608594085239E-2</v>
      </c>
      <c r="N164" s="1100" t="str">
        <f t="shared" ca="1" si="84"/>
        <v>Cash for Working Capital Reserve</v>
      </c>
      <c r="O164" s="1096"/>
      <c r="P164" s="1096"/>
      <c r="Q164" s="1096"/>
      <c r="R164" s="1096"/>
      <c r="S164" s="1096"/>
      <c r="T164" s="1096"/>
      <c r="U164" s="1096"/>
      <c r="V164" s="1096"/>
      <c r="W164" s="1096"/>
      <c r="X164" s="1096"/>
      <c r="Y164" s="1096"/>
      <c r="Z164" s="1096"/>
      <c r="AA164" s="1096"/>
      <c r="AB164" s="1096"/>
      <c r="AC164" s="1096"/>
      <c r="AD164" s="1096"/>
      <c r="AE164" s="1096"/>
      <c r="AF164" s="1096"/>
      <c r="AG164" s="1096"/>
      <c r="AH164" s="1096"/>
      <c r="AI164" s="1096"/>
      <c r="AJ164" s="1096"/>
    </row>
    <row r="165" spans="1:36" x14ac:dyDescent="0.25">
      <c r="A165" s="1096"/>
      <c r="B165" s="1096"/>
      <c r="C165" s="1096">
        <f t="shared" si="85"/>
        <v>7</v>
      </c>
      <c r="D165" s="1100" t="str">
        <f>+N110</f>
        <v>Feedstock Cost</v>
      </c>
      <c r="E165" s="1113">
        <f ca="1">+T48+C165/10000000000</f>
        <v>1.0323787978615324</v>
      </c>
      <c r="F165" s="1100">
        <f t="shared" ca="1" si="80"/>
        <v>1</v>
      </c>
      <c r="G165" s="1105">
        <v>7</v>
      </c>
      <c r="H165" s="1100" t="str">
        <f t="shared" ca="1" si="81"/>
        <v>Yearly Replacement Costs</v>
      </c>
      <c r="I165" s="1115">
        <f t="shared" ca="1" si="82"/>
        <v>7.7619458215004659E-3</v>
      </c>
      <c r="J165" s="1096"/>
      <c r="K165" s="1100" t="str">
        <f t="shared" ca="1" si="76"/>
        <v>Yearly Replacement Costs</v>
      </c>
      <c r="L165" s="1100"/>
      <c r="M165" s="1113">
        <f t="shared" ca="1" si="83"/>
        <v>7.7619458215004659E-3</v>
      </c>
      <c r="N165" s="1100" t="str">
        <f t="shared" ca="1" si="84"/>
        <v>Yearly Replacement Costs</v>
      </c>
      <c r="O165" s="1096"/>
      <c r="P165" s="1096"/>
      <c r="Q165" s="1096"/>
      <c r="R165" s="1096"/>
      <c r="S165" s="1096"/>
      <c r="T165" s="1096"/>
      <c r="U165" s="1096"/>
      <c r="V165" s="1096"/>
      <c r="W165" s="1096"/>
      <c r="X165" s="1096"/>
      <c r="Y165" s="1096"/>
      <c r="Z165" s="1096"/>
      <c r="AA165" s="1096"/>
      <c r="AB165" s="1096"/>
      <c r="AC165" s="1096"/>
      <c r="AD165" s="1096"/>
      <c r="AE165" s="1096"/>
      <c r="AF165" s="1096"/>
      <c r="AG165" s="1096"/>
      <c r="AH165" s="1096"/>
      <c r="AI165" s="1096"/>
      <c r="AJ165" s="1096"/>
    </row>
    <row r="166" spans="1:36" x14ac:dyDescent="0.25">
      <c r="A166" s="1096"/>
      <c r="B166" s="1096"/>
      <c r="C166" s="1096">
        <f t="shared" si="85"/>
        <v>8</v>
      </c>
      <c r="D166" s="1100" t="str">
        <f>+O110</f>
        <v>Other Raw Material Cost</v>
      </c>
      <c r="E166" s="1113">
        <f ca="1">+U48+C166/10000000000</f>
        <v>8.0000000000000003E-10</v>
      </c>
      <c r="F166" s="1100">
        <f t="shared" ca="1" si="80"/>
        <v>12</v>
      </c>
      <c r="G166" s="1105">
        <v>8</v>
      </c>
      <c r="H166" s="1100" t="str">
        <f t="shared" ca="1" si="81"/>
        <v>Taxes</v>
      </c>
      <c r="I166" s="1115">
        <f t="shared" ca="1" si="82"/>
        <v>7.5096238613796707E-3</v>
      </c>
      <c r="J166" s="1096"/>
      <c r="K166" s="1100" t="str">
        <f t="shared" ca="1" si="76"/>
        <v>Taxes</v>
      </c>
      <c r="L166" s="1100"/>
      <c r="M166" s="1113">
        <f t="shared" ca="1" si="83"/>
        <v>7.5096238613796707E-3</v>
      </c>
      <c r="N166" s="1100" t="str">
        <f t="shared" ca="1" si="84"/>
        <v>Taxes</v>
      </c>
      <c r="O166" s="1096"/>
      <c r="P166" s="1096"/>
      <c r="Q166" s="1096"/>
      <c r="R166" s="1096"/>
      <c r="S166" s="1096"/>
      <c r="T166" s="1096"/>
      <c r="U166" s="1096"/>
      <c r="V166" s="1096"/>
      <c r="W166" s="1096"/>
      <c r="X166" s="1096"/>
      <c r="Y166" s="1096"/>
      <c r="Z166" s="1096"/>
      <c r="AA166" s="1096"/>
      <c r="AB166" s="1096"/>
      <c r="AC166" s="1096"/>
      <c r="AD166" s="1096"/>
      <c r="AE166" s="1096"/>
      <c r="AF166" s="1096"/>
      <c r="AG166" s="1096"/>
      <c r="AH166" s="1096"/>
      <c r="AI166" s="1096"/>
      <c r="AJ166" s="1096"/>
    </row>
    <row r="167" spans="1:36" x14ac:dyDescent="0.25">
      <c r="A167" s="1096"/>
      <c r="B167" s="1096"/>
      <c r="C167" s="1096">
        <f t="shared" si="85"/>
        <v>9</v>
      </c>
      <c r="D167" s="1100" t="str">
        <f>+P110</f>
        <v>Other Variable Operating Costs</v>
      </c>
      <c r="E167" s="1113">
        <f ca="1">+V48+C167/10000000000</f>
        <v>9.7719296843352399E-2</v>
      </c>
      <c r="F167" s="1100">
        <f t="shared" ca="1" si="80"/>
        <v>2</v>
      </c>
      <c r="G167" s="1105">
        <v>9</v>
      </c>
      <c r="H167" s="1100" t="str">
        <f t="shared" ca="1" si="81"/>
        <v>Principal Payment</v>
      </c>
      <c r="I167" s="1115">
        <f t="shared" ca="1" si="82"/>
        <v>1.6309535777419199E-3</v>
      </c>
      <c r="J167" s="1096"/>
      <c r="K167" s="1100" t="str">
        <f t="shared" ca="1" si="76"/>
        <v>Principal Payment</v>
      </c>
      <c r="L167" s="1100"/>
      <c r="M167" s="1113">
        <f t="shared" ca="1" si="83"/>
        <v>1.6309535777419199E-3</v>
      </c>
      <c r="N167" s="1100" t="str">
        <f t="shared" ca="1" si="84"/>
        <v>Principal Payment</v>
      </c>
      <c r="O167" s="1096"/>
      <c r="P167" s="1096"/>
      <c r="Q167" s="1096"/>
      <c r="R167" s="1096"/>
      <c r="S167" s="1096"/>
      <c r="T167" s="1096"/>
      <c r="U167" s="1096"/>
      <c r="V167" s="1096"/>
      <c r="W167" s="1096"/>
      <c r="X167" s="1096"/>
      <c r="Y167" s="1096"/>
      <c r="Z167" s="1096"/>
      <c r="AA167" s="1096"/>
      <c r="AB167" s="1096"/>
      <c r="AC167" s="1096"/>
      <c r="AD167" s="1096"/>
      <c r="AE167" s="1096"/>
      <c r="AF167" s="1096"/>
      <c r="AG167" s="1096"/>
      <c r="AH167" s="1096"/>
      <c r="AI167" s="1096"/>
      <c r="AJ167" s="1096"/>
    </row>
    <row r="168" spans="1:36" x14ac:dyDescent="0.25">
      <c r="A168" s="1096"/>
      <c r="B168" s="1096"/>
      <c r="C168" s="1096">
        <f t="shared" si="85"/>
        <v>10</v>
      </c>
      <c r="D168" s="1100" t="str">
        <f>+Q110</f>
        <v>Debt Interest</v>
      </c>
      <c r="E168" s="1113">
        <f ca="1">+W48+C168/10000000000</f>
        <v>3.6306117293509466E-2</v>
      </c>
      <c r="F168" s="1100">
        <f t="shared" ca="1" si="80"/>
        <v>5</v>
      </c>
      <c r="G168" s="1105">
        <v>10</v>
      </c>
      <c r="H168" s="1100" t="str">
        <f t="shared" ca="1" si="81"/>
        <v>Decommissioning Costs</v>
      </c>
      <c r="I168" s="1115">
        <f t="shared" ca="1" si="82"/>
        <v>5.9924728859570725E-4</v>
      </c>
      <c r="J168" s="1096"/>
      <c r="K168" s="1100" t="str">
        <f t="shared" ca="1" si="76"/>
        <v>Decommissioning Costs</v>
      </c>
      <c r="L168" s="1100"/>
      <c r="M168" s="1113">
        <f t="shared" ca="1" si="83"/>
        <v>5.9924728859570725E-4</v>
      </c>
      <c r="N168" s="1100" t="str">
        <f t="shared" ca="1" si="84"/>
        <v>Decommissioning Costs</v>
      </c>
      <c r="O168" s="1096"/>
      <c r="P168" s="1096"/>
      <c r="Q168" s="1096"/>
      <c r="R168" s="1096"/>
      <c r="S168" s="1096"/>
      <c r="T168" s="1096"/>
      <c r="U168" s="1096"/>
      <c r="V168" s="1096"/>
      <c r="W168" s="1096"/>
      <c r="X168" s="1096"/>
      <c r="Y168" s="1096"/>
      <c r="Z168" s="1096"/>
      <c r="AA168" s="1096"/>
      <c r="AB168" s="1096"/>
      <c r="AC168" s="1096"/>
      <c r="AD168" s="1096"/>
      <c r="AE168" s="1096"/>
      <c r="AF168" s="1096"/>
      <c r="AG168" s="1096"/>
      <c r="AH168" s="1096"/>
      <c r="AI168" s="1096"/>
      <c r="AJ168" s="1096"/>
    </row>
    <row r="169" spans="1:36" x14ac:dyDescent="0.25">
      <c r="A169" s="1096"/>
      <c r="B169" s="1096"/>
      <c r="C169" s="1096">
        <f t="shared" si="85"/>
        <v>11</v>
      </c>
      <c r="D169" s="1100" t="str">
        <f>+R110</f>
        <v>Taxes</v>
      </c>
      <c r="E169" s="1113">
        <f ca="1">+X48+C169/10000000000</f>
        <v>7.5096249613796707E-3</v>
      </c>
      <c r="F169" s="1100">
        <f t="shared" ca="1" si="80"/>
        <v>8</v>
      </c>
      <c r="G169" s="1105">
        <v>11</v>
      </c>
      <c r="H169" s="1100" t="str">
        <f t="shared" ca="1" si="81"/>
        <v>Other Non-Depreciable Capital Costs</v>
      </c>
      <c r="I169" s="1115">
        <f t="shared" ca="1" si="82"/>
        <v>4.4939791076757435E-4</v>
      </c>
      <c r="J169" s="1096"/>
      <c r="K169" s="1100" t="str">
        <f t="shared" ca="1" si="76"/>
        <v>Other Non-Depreciable Capital Costs</v>
      </c>
      <c r="L169" s="1100"/>
      <c r="M169" s="1113">
        <f t="shared" ca="1" si="83"/>
        <v>4.4939791076757435E-4</v>
      </c>
      <c r="N169" s="1100" t="str">
        <f t="shared" ca="1" si="84"/>
        <v>Other Non-Depreciable Capital Costs</v>
      </c>
      <c r="O169" s="1096"/>
      <c r="P169" s="1096"/>
      <c r="Q169" s="1096"/>
      <c r="R169" s="1096"/>
      <c r="S169" s="1096"/>
      <c r="T169" s="1096"/>
      <c r="U169" s="1096"/>
      <c r="V169" s="1096"/>
      <c r="W169" s="1096"/>
      <c r="X169" s="1096"/>
      <c r="Y169" s="1096"/>
      <c r="Z169" s="1096"/>
      <c r="AA169" s="1096"/>
      <c r="AB169" s="1096"/>
      <c r="AC169" s="1096"/>
      <c r="AD169" s="1096"/>
      <c r="AE169" s="1096"/>
      <c r="AF169" s="1096"/>
      <c r="AG169" s="1096"/>
      <c r="AH169" s="1096"/>
      <c r="AI169" s="1096"/>
      <c r="AJ169" s="1096"/>
    </row>
    <row r="170" spans="1:36" x14ac:dyDescent="0.25">
      <c r="A170" s="1096"/>
      <c r="B170" s="1096"/>
      <c r="C170" s="1096">
        <f t="shared" si="85"/>
        <v>12</v>
      </c>
      <c r="D170" s="1100" t="str">
        <f>+S110</f>
        <v>Principal Payment</v>
      </c>
      <c r="E170" s="1113">
        <f ca="1">+Y48+C170/10000000000</f>
        <v>1.6309547777419199E-3</v>
      </c>
      <c r="F170" s="1100">
        <f t="shared" ca="1" si="80"/>
        <v>9</v>
      </c>
      <c r="G170" s="1105">
        <v>12</v>
      </c>
      <c r="H170" s="1100" t="str">
        <f t="shared" ca="1" si="81"/>
        <v>Other Raw Material Cost</v>
      </c>
      <c r="I170" s="1115">
        <f t="shared" ca="1" si="82"/>
        <v>0</v>
      </c>
      <c r="J170" s="1096"/>
      <c r="K170" s="1100" t="str">
        <f t="shared" ca="1" si="76"/>
        <v>Other Raw Material Cost</v>
      </c>
      <c r="L170" s="1100"/>
      <c r="M170" s="1113">
        <f t="shared" ca="1" si="83"/>
        <v>0</v>
      </c>
      <c r="N170" s="1100" t="str">
        <f t="shared" ca="1" si="84"/>
        <v/>
      </c>
      <c r="O170" s="1096"/>
      <c r="P170" s="1096"/>
      <c r="Q170" s="1096"/>
      <c r="R170" s="1096"/>
      <c r="S170" s="1096"/>
      <c r="T170" s="1096"/>
      <c r="U170" s="1096"/>
      <c r="V170" s="1096"/>
      <c r="W170" s="1096"/>
      <c r="X170" s="1096"/>
      <c r="Y170" s="1096"/>
      <c r="Z170" s="1096"/>
      <c r="AA170" s="1096"/>
      <c r="AB170" s="1096"/>
      <c r="AC170" s="1096"/>
      <c r="AD170" s="1096"/>
      <c r="AE170" s="1096"/>
      <c r="AF170" s="1096"/>
      <c r="AG170" s="1096"/>
      <c r="AH170" s="1096"/>
      <c r="AI170" s="1096"/>
      <c r="AJ170" s="1096"/>
    </row>
    <row r="171" spans="1:36" ht="13" x14ac:dyDescent="0.3">
      <c r="A171" s="1096"/>
      <c r="B171" s="1096"/>
      <c r="C171" s="1096"/>
      <c r="D171" s="1096"/>
      <c r="E171" s="1096"/>
      <c r="F171" s="1096"/>
      <c r="G171" s="1096"/>
      <c r="H171" s="1098"/>
      <c r="I171" s="1096"/>
      <c r="J171" s="1096"/>
      <c r="K171" s="1099" t="s">
        <v>58</v>
      </c>
      <c r="L171" s="1113">
        <f ca="1">+SUM(L155:L170)</f>
        <v>1.3164325680330957</v>
      </c>
      <c r="M171" s="1113">
        <f ca="1">+SUM(M155:M170)</f>
        <v>1.3164325680330946</v>
      </c>
      <c r="N171" s="1100" t="str">
        <f t="shared" ref="N171" ca="1" si="86">+IF(M171&lt;0.01,K171,"")</f>
        <v/>
      </c>
      <c r="O171" s="1096"/>
      <c r="P171" s="1096"/>
      <c r="Q171" s="1096"/>
      <c r="R171" s="1096"/>
      <c r="S171" s="1096"/>
      <c r="T171" s="1096"/>
      <c r="U171" s="1096"/>
      <c r="V171" s="1096"/>
      <c r="W171" s="1096"/>
      <c r="X171" s="1096"/>
      <c r="Y171" s="1096"/>
      <c r="Z171" s="1096"/>
      <c r="AA171" s="1096"/>
      <c r="AB171" s="1096"/>
      <c r="AC171" s="1096"/>
      <c r="AD171" s="1096"/>
      <c r="AE171" s="1096"/>
      <c r="AF171" s="1096"/>
      <c r="AG171" s="1096"/>
      <c r="AH171" s="1096"/>
      <c r="AI171" s="1096"/>
      <c r="AJ171" s="1096"/>
    </row>
    <row r="172" spans="1:36" x14ac:dyDescent="0.25">
      <c r="A172" s="1096"/>
      <c r="B172" s="1096"/>
      <c r="C172" s="1096"/>
      <c r="E172" s="1096"/>
      <c r="F172" s="1096"/>
      <c r="G172" s="1096"/>
      <c r="H172" s="1096"/>
      <c r="I172" s="1096"/>
      <c r="J172" s="1096"/>
      <c r="K172" s="1096"/>
      <c r="L172" s="1096"/>
      <c r="M172" s="1096"/>
      <c r="N172" s="1096"/>
      <c r="O172" s="1096"/>
      <c r="P172" s="1096"/>
      <c r="Q172" s="1096"/>
      <c r="R172" s="1096"/>
      <c r="S172" s="1096"/>
      <c r="T172" s="1096"/>
      <c r="U172" s="1096"/>
      <c r="V172" s="1096"/>
      <c r="W172" s="1096"/>
      <c r="X172" s="1096"/>
      <c r="Y172" s="1096"/>
      <c r="Z172" s="1096"/>
      <c r="AA172" s="1096"/>
      <c r="AB172" s="1096"/>
      <c r="AC172" s="1096"/>
      <c r="AD172" s="1096"/>
      <c r="AE172" s="1096"/>
      <c r="AF172" s="1096"/>
      <c r="AG172" s="1096"/>
      <c r="AH172" s="1096"/>
      <c r="AI172" s="1096"/>
      <c r="AJ172" s="1096"/>
    </row>
    <row r="173" spans="1:36" x14ac:dyDescent="0.25">
      <c r="A173" s="1096"/>
      <c r="B173" s="1096"/>
      <c r="C173" s="1096"/>
      <c r="D173" s="1096"/>
      <c r="E173" s="1096"/>
      <c r="F173" s="1096"/>
      <c r="G173" s="1096"/>
      <c r="H173" s="1096"/>
      <c r="I173" s="1096"/>
      <c r="J173" s="1096"/>
      <c r="K173" s="1096"/>
      <c r="L173" s="1096"/>
      <c r="M173" s="1096"/>
      <c r="N173" s="1096"/>
      <c r="O173" s="1096"/>
      <c r="P173" s="1096"/>
      <c r="Q173" s="1096"/>
      <c r="R173" s="1096"/>
      <c r="S173" s="1096"/>
      <c r="T173" s="1096"/>
      <c r="U173" s="1096"/>
      <c r="V173" s="1096"/>
      <c r="W173" s="1096"/>
      <c r="X173" s="1096"/>
      <c r="Y173" s="1096"/>
      <c r="Z173" s="1096"/>
      <c r="AA173" s="1096"/>
      <c r="AB173" s="1096"/>
      <c r="AC173" s="1096"/>
      <c r="AD173" s="1096"/>
      <c r="AE173" s="1096"/>
      <c r="AF173" s="1096"/>
      <c r="AG173" s="1096"/>
      <c r="AH173" s="1096"/>
      <c r="AI173" s="1096"/>
      <c r="AJ173" s="1096"/>
    </row>
    <row r="174" spans="1:36" ht="13" x14ac:dyDescent="0.3">
      <c r="A174" s="1096"/>
      <c r="B174" s="1098" t="s">
        <v>1184</v>
      </c>
      <c r="C174" s="1096"/>
      <c r="D174" s="1097" t="s">
        <v>1196</v>
      </c>
      <c r="E174" s="1097" t="s">
        <v>1194</v>
      </c>
      <c r="F174" s="1097" t="s">
        <v>1197</v>
      </c>
      <c r="G174" s="1097" t="s">
        <v>1195</v>
      </c>
      <c r="H174" s="1096"/>
      <c r="I174" s="1096"/>
      <c r="J174" s="1096"/>
      <c r="K174" s="1096"/>
      <c r="L174" s="1096"/>
      <c r="M174" s="1097"/>
      <c r="N174" s="1097"/>
      <c r="O174" s="1096"/>
      <c r="P174" s="1096"/>
      <c r="Q174" s="1096"/>
      <c r="R174" s="1096"/>
      <c r="S174" s="1096"/>
      <c r="T174" s="1096"/>
      <c r="U174" s="1096"/>
      <c r="V174" s="1096"/>
      <c r="W174" s="1096"/>
      <c r="X174" s="1096"/>
      <c r="Y174" s="1096"/>
      <c r="Z174" s="1096"/>
      <c r="AA174" s="1096"/>
      <c r="AB174" s="1096"/>
      <c r="AC174" s="1096"/>
      <c r="AD174" s="1096"/>
      <c r="AE174" s="1096"/>
      <c r="AF174" s="1096"/>
      <c r="AG174" s="1096"/>
      <c r="AH174" s="1096"/>
      <c r="AI174" s="1096"/>
      <c r="AJ174" s="1096"/>
    </row>
    <row r="175" spans="1:36" x14ac:dyDescent="0.25">
      <c r="A175" s="1096"/>
      <c r="B175">
        <v>0</v>
      </c>
      <c r="C175" s="1099" t="s">
        <v>1185</v>
      </c>
      <c r="D175" s="1113">
        <f>+K51</f>
        <v>1.3158315472358189</v>
      </c>
      <c r="E175" s="1113">
        <f>+D175</f>
        <v>1.3158315472358189</v>
      </c>
      <c r="F175" s="1113"/>
      <c r="G175" s="1113"/>
      <c r="H175" s="1096"/>
      <c r="I175" s="1096"/>
      <c r="J175" s="1096"/>
      <c r="K175" s="1096"/>
      <c r="L175" s="1096"/>
      <c r="M175" s="1230"/>
      <c r="N175" s="1230"/>
      <c r="O175" s="1096"/>
      <c r="P175" s="1096"/>
      <c r="Q175" s="1096"/>
      <c r="R175" s="1096"/>
      <c r="S175" s="1096"/>
      <c r="T175" s="1096"/>
      <c r="U175" s="1096"/>
      <c r="V175" s="1096"/>
      <c r="W175" s="1096"/>
      <c r="X175" s="1096"/>
      <c r="Y175" s="1096"/>
      <c r="Z175" s="1096"/>
      <c r="AA175" s="1096"/>
      <c r="AB175" s="1096"/>
      <c r="AC175" s="1096"/>
      <c r="AD175" s="1096"/>
      <c r="AE175" s="1096"/>
      <c r="AF175" s="1096"/>
      <c r="AG175" s="1096"/>
      <c r="AH175" s="1096"/>
      <c r="AI175" s="1096"/>
      <c r="AJ175" s="1096"/>
    </row>
    <row r="176" spans="1:36" x14ac:dyDescent="0.25">
      <c r="A176" s="1096"/>
      <c r="B176" s="1096">
        <v>1</v>
      </c>
      <c r="C176" s="1100" t="str">
        <f ca="1">OFFSET($B$50,0,MATCH($B176,$C$72:$I$72,0))&amp;
IF(OFFSET($F$2,MATCH($B176,$C$72:$I$72,0),0)&lt;1,
"
= "&amp;OFFSET($F$2,MATCH($B176,$C$72:$I$72,0),0)*100-100,
"
= +"&amp;OFFSET($F$2,MATCH($B176,$C$72:$I$72,0),0)*100-100)
&amp;"%"</f>
        <v>Feedstock consumption (% of most likely value)
= -5%</v>
      </c>
      <c r="D176" s="1113">
        <f>+K66</f>
        <v>1.2632645525367054</v>
      </c>
      <c r="E176" s="1113">
        <f t="shared" ref="E176:E181" si="87">+E175+G175-F176</f>
        <v>1.2632645525367054</v>
      </c>
      <c r="F176" s="1113">
        <f>+MAX(D175-D176,0)</f>
        <v>5.2566994699113412E-2</v>
      </c>
      <c r="G176" s="1113">
        <f>+MAX(D176-D175,0)</f>
        <v>0</v>
      </c>
      <c r="H176" s="1096"/>
      <c r="I176" s="1096"/>
      <c r="J176" s="1096"/>
      <c r="K176" s="1096"/>
      <c r="L176" s="1096"/>
      <c r="M176" s="1230"/>
      <c r="N176" s="1230"/>
      <c r="O176" s="1096"/>
      <c r="P176" s="1096"/>
      <c r="Q176" s="1096"/>
      <c r="R176" s="1096"/>
      <c r="S176" s="1096"/>
      <c r="T176" s="1096"/>
      <c r="U176" s="1096"/>
      <c r="V176" s="1096"/>
      <c r="W176" s="1096"/>
      <c r="X176" s="1096"/>
      <c r="Y176" s="1096"/>
      <c r="Z176" s="1096"/>
      <c r="AA176" s="1096"/>
      <c r="AB176" s="1096"/>
      <c r="AC176" s="1096"/>
      <c r="AD176" s="1096"/>
      <c r="AE176" s="1096"/>
      <c r="AF176" s="1096"/>
      <c r="AG176" s="1096"/>
      <c r="AH176" s="1096"/>
      <c r="AI176" s="1096"/>
      <c r="AJ176" s="1096"/>
    </row>
    <row r="177" spans="1:36" x14ac:dyDescent="0.25">
      <c r="A177" s="1096"/>
      <c r="B177" s="1096">
        <v>2</v>
      </c>
      <c r="C177" s="1100" t="str">
        <f ca="1">OFFSET($B$50,0,MATCH($B177,$C$72:$I$72,0))&amp;
IF(OFFSET($F$2,MATCH($B177,$C$72:$I$72,0),0)&lt;1,
"
= "&amp;OFFSET($F$2,MATCH($B177,$C$72:$I$72,0),0)*100-100,
"
= +"&amp;OFFSET($F$2,MATCH($B177,$C$72:$I$72,0),0)*100-100)
&amp;"%"</f>
        <v>Operating capacity factor
= +5%</v>
      </c>
      <c r="D177" s="1113">
        <f>+K67</f>
        <v>1.2542066969699335</v>
      </c>
      <c r="E177" s="1113">
        <f t="shared" si="87"/>
        <v>1.2542066969699335</v>
      </c>
      <c r="F177" s="1113">
        <f>+MAX(D176-D177,0)</f>
        <v>9.0578555667719662E-3</v>
      </c>
      <c r="G177" s="1113">
        <f>+MAX(D177-D176,0)</f>
        <v>0</v>
      </c>
      <c r="H177" s="1096"/>
      <c r="I177" s="1096"/>
      <c r="J177" s="1096"/>
      <c r="K177" s="1096"/>
      <c r="L177" s="1096"/>
      <c r="M177" s="1230"/>
      <c r="N177" s="1230"/>
      <c r="O177" s="1096"/>
      <c r="P177" s="1096"/>
      <c r="Q177" s="1096"/>
      <c r="R177" s="1096"/>
      <c r="S177" s="1096"/>
      <c r="T177" s="1096"/>
      <c r="U177" s="1096"/>
      <c r="V177" s="1096"/>
      <c r="W177" s="1096"/>
      <c r="X177" s="1096"/>
      <c r="Y177" s="1096"/>
      <c r="Z177" s="1096"/>
      <c r="AA177" s="1096"/>
      <c r="AB177" s="1096"/>
      <c r="AC177" s="1096"/>
      <c r="AD177" s="1096"/>
      <c r="AE177" s="1096"/>
      <c r="AF177" s="1096"/>
      <c r="AG177" s="1096"/>
      <c r="AH177" s="1096"/>
      <c r="AI177" s="1096"/>
      <c r="AJ177" s="1096"/>
    </row>
    <row r="178" spans="1:36" x14ac:dyDescent="0.25">
      <c r="A178" s="1096"/>
      <c r="B178" s="1096">
        <v>3</v>
      </c>
      <c r="C178" s="1100" t="str">
        <f ca="1">OFFSET($B$50,0,MATCH($B178,$C$72:$I$72,0))&amp;
IF(OFFSET($F$2,MATCH($B178,$C$72:$I$72,0),0)&lt;1,
"
= "&amp;OFFSET($F$2,MATCH($B178,$C$72:$I$72,0),0)*100-100,
"
= +"&amp;OFFSET($F$2,MATCH($B178,$C$72:$I$72,0),0)*100-100)
&amp;"%"</f>
        <v>Total capital investment ($)
= -5%</v>
      </c>
      <c r="D178" s="1113">
        <f>+K68</f>
        <v>1.2482564794418398</v>
      </c>
      <c r="E178" s="1113">
        <f t="shared" si="87"/>
        <v>1.2482564794418398</v>
      </c>
      <c r="F178" s="1113">
        <f>+MAX(D177-D178,0)</f>
        <v>5.9502175280936598E-3</v>
      </c>
      <c r="G178" s="1113">
        <f>+MAX(D178-D177,0)</f>
        <v>0</v>
      </c>
      <c r="H178" s="1096"/>
      <c r="I178" s="1096"/>
      <c r="J178" s="1096"/>
      <c r="K178" s="1096"/>
      <c r="L178" s="1096"/>
      <c r="M178" s="1230"/>
      <c r="N178" s="1230"/>
      <c r="O178" s="1096"/>
      <c r="P178" s="1096"/>
      <c r="Q178" s="1096"/>
      <c r="R178" s="1096"/>
      <c r="S178" s="1096"/>
      <c r="T178" s="1096"/>
      <c r="U178" s="1096"/>
      <c r="V178" s="1096"/>
      <c r="W178" s="1096"/>
      <c r="X178" s="1096"/>
      <c r="Y178" s="1096"/>
      <c r="Z178" s="1096"/>
      <c r="AA178" s="1096"/>
      <c r="AB178" s="1096"/>
      <c r="AC178" s="1096"/>
      <c r="AD178" s="1096"/>
      <c r="AE178" s="1096"/>
      <c r="AF178" s="1096"/>
      <c r="AG178" s="1096"/>
      <c r="AH178" s="1096"/>
      <c r="AI178" s="1096"/>
      <c r="AJ178" s="1096"/>
    </row>
    <row r="179" spans="1:36" x14ac:dyDescent="0.25">
      <c r="A179" s="1096"/>
      <c r="B179" s="1096">
        <v>4</v>
      </c>
      <c r="C179" s="1100" t="str">
        <f ca="1">OFFSET($B$50,0,MATCH($B179,$C$72:$I$72,0))&amp;
IF(OFFSET($F$2,MATCH($B179,$C$72:$I$72,0),0)&lt;1,
"
= "&amp;OFFSET($F$2,MATCH($B179,$C$72:$I$72,0),0)*100-100,
"
= +"&amp;OFFSET($F$2,MATCH($B179,$C$72:$I$72,0),0)*100-100)
&amp;"%"</f>
        <v>Total fixed operating cost ($/year)
= -5%</v>
      </c>
      <c r="D179" s="1113">
        <f>+K69</f>
        <v>1.2453932077143497</v>
      </c>
      <c r="E179" s="1113">
        <f t="shared" si="87"/>
        <v>1.2453932077143497</v>
      </c>
      <c r="F179" s="1113">
        <f>+MAX(D178-D179,0)</f>
        <v>2.8632717274901243E-3</v>
      </c>
      <c r="G179" s="1113">
        <f>+MAX(D179-D178,0)</f>
        <v>0</v>
      </c>
      <c r="H179" s="1096"/>
      <c r="I179" s="1096"/>
      <c r="J179" s="1096"/>
      <c r="K179" s="1096"/>
      <c r="L179" s="1096"/>
      <c r="M179" s="1230"/>
      <c r="N179" s="1230"/>
      <c r="O179" s="1096"/>
      <c r="P179" s="1096"/>
      <c r="Q179" s="1096"/>
      <c r="R179" s="1096"/>
      <c r="S179" s="1096"/>
      <c r="T179" s="1096"/>
      <c r="U179" s="1096"/>
      <c r="V179" s="1096"/>
      <c r="W179" s="1096"/>
      <c r="X179" s="1096"/>
      <c r="Y179" s="1096"/>
      <c r="Z179" s="1096"/>
      <c r="AA179" s="1096"/>
      <c r="AB179" s="1096"/>
      <c r="AC179" s="1096"/>
      <c r="AD179" s="1096"/>
      <c r="AE179" s="1096"/>
      <c r="AF179" s="1096"/>
      <c r="AG179" s="1096"/>
      <c r="AH179" s="1096"/>
      <c r="AI179" s="1096"/>
      <c r="AJ179" s="1096"/>
    </row>
    <row r="180" spans="1:36" x14ac:dyDescent="0.25">
      <c r="A180" s="1096"/>
      <c r="B180" s="1096">
        <v>5</v>
      </c>
      <c r="C180" s="1100" t="str">
        <f ca="1">OFFSET($B$50,0,MATCH($B180,$C$72:$I$72,0))&amp;
IF(OFFSET($F$2,MATCH($B180,$C$72:$I$72,0),0)&lt;1,
"
= "&amp;OFFSET($F$2,MATCH($B180,$C$72:$I$72,0),0)*100-100,
"
= +"&amp;OFFSET($F$2,MATCH($B180,$C$72:$I$72,0),0)*100-100)
&amp;"%"</f>
        <v>Utilities consumption (% of most likely value)
= -5%</v>
      </c>
      <c r="D180" s="1113">
        <f>+K70</f>
        <v>1.2429299166040118</v>
      </c>
      <c r="E180" s="1113">
        <f t="shared" si="87"/>
        <v>1.2429299166040118</v>
      </c>
      <c r="F180" s="1113">
        <f>+MAX(D179-D180,0)</f>
        <v>2.4632911103379396E-3</v>
      </c>
      <c r="G180" s="1113">
        <f>+MAX(D180-D179,0)</f>
        <v>0</v>
      </c>
      <c r="H180" s="1096"/>
      <c r="I180" s="1096"/>
      <c r="J180" s="1096"/>
      <c r="K180" s="1096"/>
      <c r="L180" s="1096"/>
      <c r="M180" s="1230"/>
      <c r="N180" s="1230"/>
      <c r="O180" s="1096"/>
      <c r="P180" s="1096"/>
      <c r="Q180" s="1096"/>
      <c r="R180" s="1096"/>
      <c r="S180" s="1096"/>
      <c r="T180" s="1096"/>
      <c r="U180" s="1096"/>
      <c r="V180" s="1096"/>
      <c r="W180" s="1096"/>
      <c r="X180" s="1096"/>
      <c r="Y180" s="1096"/>
      <c r="Z180" s="1096"/>
      <c r="AA180" s="1096"/>
      <c r="AB180" s="1096"/>
      <c r="AC180" s="1096"/>
      <c r="AD180" s="1096"/>
      <c r="AE180" s="1096"/>
      <c r="AF180" s="1096"/>
      <c r="AG180" s="1096"/>
      <c r="AH180" s="1096"/>
      <c r="AI180" s="1096"/>
      <c r="AJ180" s="1096"/>
    </row>
    <row r="181" spans="1:36" x14ac:dyDescent="0.25">
      <c r="A181" s="1096"/>
      <c r="B181" s="1096">
        <v>6</v>
      </c>
      <c r="C181" s="1099" t="s">
        <v>1192</v>
      </c>
      <c r="D181" s="1113">
        <f>+K70</f>
        <v>1.2429299166040118</v>
      </c>
      <c r="E181" s="1113">
        <f t="shared" si="87"/>
        <v>1.2429299166040118</v>
      </c>
      <c r="F181" s="1113"/>
      <c r="G181" s="1113"/>
      <c r="H181" s="1096"/>
      <c r="I181" s="1096"/>
      <c r="J181" s="1096"/>
      <c r="K181" s="1096"/>
      <c r="L181" s="1096"/>
      <c r="M181" s="1230"/>
      <c r="N181" s="1230"/>
      <c r="O181" s="1096"/>
      <c r="P181" s="1096"/>
      <c r="Q181" s="1096"/>
      <c r="R181" s="1096"/>
      <c r="S181" s="1096"/>
      <c r="T181" s="1096"/>
      <c r="U181" s="1096"/>
      <c r="V181" s="1096"/>
      <c r="W181" s="1096"/>
      <c r="X181" s="1096"/>
      <c r="Y181" s="1096"/>
      <c r="Z181" s="1096"/>
      <c r="AA181" s="1096"/>
      <c r="AB181" s="1096"/>
      <c r="AC181" s="1096"/>
      <c r="AD181" s="1096"/>
      <c r="AE181" s="1096"/>
      <c r="AF181" s="1096"/>
      <c r="AG181" s="1096"/>
      <c r="AH181" s="1096"/>
      <c r="AI181" s="1096"/>
      <c r="AJ181" s="1096"/>
    </row>
    <row r="182" spans="1:36" x14ac:dyDescent="0.25">
      <c r="A182" s="1096"/>
      <c r="B182" s="1096"/>
      <c r="C182" s="1096"/>
      <c r="D182" s="1096"/>
      <c r="E182" s="1096"/>
      <c r="F182" s="1096"/>
      <c r="G182" s="1096"/>
      <c r="H182" s="1096"/>
      <c r="I182" s="1096"/>
      <c r="J182" s="1096"/>
      <c r="K182" s="1096"/>
      <c r="L182" s="1096"/>
      <c r="M182" s="1096"/>
      <c r="N182" s="1096"/>
      <c r="O182" s="1096"/>
      <c r="P182" s="1096"/>
      <c r="Q182" s="1096"/>
      <c r="R182" s="1096"/>
      <c r="S182" s="1096"/>
      <c r="T182" s="1096"/>
      <c r="U182" s="1096"/>
      <c r="V182" s="1096"/>
      <c r="W182" s="1096"/>
      <c r="X182" s="1096"/>
      <c r="Y182" s="1096"/>
      <c r="Z182" s="1096"/>
      <c r="AA182" s="1096"/>
      <c r="AB182" s="1096"/>
      <c r="AC182" s="1096"/>
      <c r="AD182" s="1096"/>
      <c r="AE182" s="1096"/>
      <c r="AF182" s="1096"/>
      <c r="AG182" s="1096"/>
      <c r="AH182" s="1096"/>
      <c r="AI182" s="1096"/>
      <c r="AJ182" s="1096"/>
    </row>
    <row r="183" spans="1:36" x14ac:dyDescent="0.25">
      <c r="A183" s="1096"/>
      <c r="B183" s="1096"/>
      <c r="C183" s="1096"/>
      <c r="D183" s="1096"/>
      <c r="E183" s="1096"/>
      <c r="F183" s="1096"/>
      <c r="G183" s="1096"/>
      <c r="H183" s="1096"/>
      <c r="I183" s="1096"/>
      <c r="J183" s="1096"/>
      <c r="K183" s="1096"/>
      <c r="L183" s="1096"/>
      <c r="M183" s="1096"/>
      <c r="N183" s="1096"/>
      <c r="O183" s="1096"/>
      <c r="P183" s="1096"/>
      <c r="Q183" s="1096"/>
      <c r="R183" s="1096"/>
      <c r="S183" s="1096"/>
      <c r="T183" s="1096"/>
      <c r="U183" s="1096"/>
      <c r="V183" s="1096"/>
      <c r="W183" s="1096"/>
      <c r="X183" s="1096"/>
      <c r="Y183" s="1096"/>
      <c r="Z183" s="1096"/>
      <c r="AA183" s="1096"/>
      <c r="AB183" s="1096"/>
      <c r="AC183" s="1096"/>
      <c r="AD183" s="1096"/>
      <c r="AE183" s="1096"/>
      <c r="AF183" s="1096"/>
      <c r="AG183" s="1096"/>
      <c r="AH183" s="1096"/>
      <c r="AI183" s="1096"/>
      <c r="AJ183" s="1096"/>
    </row>
    <row r="184" spans="1:36" x14ac:dyDescent="0.25">
      <c r="A184" s="1096"/>
      <c r="B184" s="1096"/>
      <c r="C184" s="1096"/>
      <c r="D184" s="1096"/>
      <c r="E184" s="1096"/>
      <c r="F184" s="1096"/>
      <c r="G184" s="1096"/>
      <c r="H184" s="1096"/>
      <c r="I184" s="1096"/>
      <c r="J184" s="1096"/>
      <c r="K184" s="1096"/>
      <c r="L184" s="1096"/>
      <c r="M184" s="1096"/>
      <c r="N184" s="1096"/>
      <c r="O184" s="1096"/>
      <c r="P184" s="1096"/>
      <c r="Q184" s="1096"/>
      <c r="R184" s="1096"/>
      <c r="S184" s="1096"/>
      <c r="T184" s="1096"/>
      <c r="U184" s="1096"/>
      <c r="V184" s="1096"/>
      <c r="W184" s="1096"/>
      <c r="X184" s="1096"/>
      <c r="Y184" s="1096"/>
      <c r="Z184" s="1096"/>
      <c r="AA184" s="1096"/>
      <c r="AB184" s="1096"/>
      <c r="AC184" s="1096"/>
      <c r="AD184" s="1096"/>
      <c r="AE184" s="1096"/>
      <c r="AF184" s="1096"/>
      <c r="AG184" s="1096"/>
      <c r="AH184" s="1096"/>
      <c r="AI184" s="1096"/>
      <c r="AJ184" s="1096"/>
    </row>
    <row r="185" spans="1:36" x14ac:dyDescent="0.25">
      <c r="A185" s="1096"/>
      <c r="B185" s="1096"/>
      <c r="C185" s="1096"/>
      <c r="D185" s="1096"/>
      <c r="E185" s="1096"/>
      <c r="F185" s="1096"/>
      <c r="G185" s="1096"/>
      <c r="H185" s="1096"/>
      <c r="I185" s="1096"/>
      <c r="J185" s="1096"/>
      <c r="K185" s="1096"/>
      <c r="L185" s="1096"/>
      <c r="M185" s="1096"/>
      <c r="N185" s="1096"/>
      <c r="O185" s="1096"/>
      <c r="P185" s="1096"/>
      <c r="Q185" s="1096"/>
      <c r="R185" s="1096"/>
      <c r="S185" s="1096"/>
      <c r="T185" s="1096"/>
      <c r="U185" s="1096"/>
      <c r="V185" s="1096"/>
      <c r="W185" s="1096"/>
      <c r="X185" s="1096"/>
      <c r="Y185" s="1096"/>
      <c r="Z185" s="1096"/>
      <c r="AA185" s="1096"/>
      <c r="AB185" s="1096"/>
      <c r="AC185" s="1096"/>
      <c r="AD185" s="1096"/>
      <c r="AE185" s="1096"/>
      <c r="AF185" s="1096"/>
      <c r="AG185" s="1096"/>
      <c r="AH185" s="1096"/>
      <c r="AI185" s="1096"/>
      <c r="AJ185" s="1096"/>
    </row>
    <row r="186" spans="1:36" x14ac:dyDescent="0.25">
      <c r="A186" s="1096"/>
      <c r="B186" s="1096"/>
      <c r="C186" s="1096"/>
      <c r="D186" s="1096"/>
      <c r="E186" s="1096"/>
      <c r="F186" s="1096"/>
      <c r="G186" s="1096"/>
      <c r="H186" s="1096"/>
      <c r="I186" s="1096"/>
      <c r="J186" s="1096"/>
      <c r="K186" s="1096"/>
      <c r="L186" s="1096"/>
      <c r="M186" s="1096"/>
      <c r="N186" s="1096"/>
      <c r="O186" s="1096"/>
      <c r="P186" s="1096"/>
      <c r="Q186" s="1096"/>
      <c r="R186" s="1096"/>
      <c r="S186" s="1096"/>
      <c r="T186" s="1096"/>
      <c r="U186" s="1096"/>
      <c r="V186" s="1096"/>
      <c r="W186" s="1096"/>
      <c r="X186" s="1096"/>
      <c r="Y186" s="1096"/>
      <c r="Z186" s="1096"/>
      <c r="AA186" s="1096"/>
      <c r="AB186" s="1096"/>
      <c r="AC186" s="1096"/>
      <c r="AD186" s="1096"/>
      <c r="AE186" s="1096"/>
      <c r="AF186" s="1096"/>
      <c r="AG186" s="1096"/>
      <c r="AH186" s="1096"/>
      <c r="AI186" s="1096"/>
      <c r="AJ186" s="1096"/>
    </row>
    <row r="187" spans="1:36" x14ac:dyDescent="0.25">
      <c r="A187" s="1096"/>
      <c r="B187" s="1096"/>
      <c r="C187" s="1096"/>
      <c r="D187" s="1096"/>
      <c r="E187" s="1096"/>
      <c r="F187" s="1096"/>
      <c r="G187" s="1096"/>
      <c r="H187" s="1096"/>
      <c r="I187" s="1096"/>
      <c r="J187" s="1096"/>
      <c r="K187" s="1096"/>
      <c r="L187" s="1096"/>
      <c r="M187" s="1096"/>
      <c r="N187" s="1096"/>
      <c r="O187" s="1096"/>
      <c r="P187" s="1096"/>
      <c r="Q187" s="1096"/>
      <c r="R187" s="1096"/>
      <c r="S187" s="1096"/>
      <c r="T187" s="1096"/>
      <c r="U187" s="1096"/>
      <c r="V187" s="1096"/>
      <c r="W187" s="1096"/>
      <c r="X187" s="1096"/>
      <c r="Y187" s="1096"/>
      <c r="Z187" s="1096"/>
      <c r="AA187" s="1096"/>
      <c r="AB187" s="1096"/>
      <c r="AC187" s="1096"/>
      <c r="AD187" s="1096"/>
      <c r="AE187" s="1096"/>
      <c r="AF187" s="1096"/>
      <c r="AG187" s="1096"/>
      <c r="AH187" s="1096"/>
      <c r="AI187" s="1096"/>
      <c r="AJ187" s="1096"/>
    </row>
    <row r="188" spans="1:36" x14ac:dyDescent="0.25">
      <c r="A188" s="1096"/>
      <c r="B188" s="1096"/>
      <c r="C188" s="1096"/>
      <c r="D188" s="1096"/>
      <c r="E188" s="1096"/>
      <c r="F188" s="1096"/>
      <c r="G188" s="1096"/>
      <c r="H188" s="1096"/>
      <c r="I188" s="1096"/>
      <c r="J188" s="1096"/>
      <c r="K188" s="1096"/>
      <c r="L188" s="1096"/>
      <c r="M188" s="1096"/>
      <c r="N188" s="1096"/>
      <c r="O188" s="1096"/>
      <c r="P188" s="1096"/>
      <c r="Q188" s="1096"/>
      <c r="R188" s="1096"/>
      <c r="S188" s="1096"/>
      <c r="T188" s="1096"/>
      <c r="U188" s="1096"/>
      <c r="V188" s="1096"/>
      <c r="W188" s="1096"/>
      <c r="X188" s="1096"/>
      <c r="Y188" s="1096"/>
      <c r="Z188" s="1096"/>
      <c r="AA188" s="1096"/>
      <c r="AB188" s="1096"/>
      <c r="AC188" s="1096"/>
      <c r="AD188" s="1096"/>
      <c r="AE188" s="1096"/>
      <c r="AF188" s="1096"/>
      <c r="AG188" s="1096"/>
      <c r="AH188" s="1096"/>
      <c r="AI188" s="1096"/>
      <c r="AJ188" s="1096"/>
    </row>
    <row r="189" spans="1:36" x14ac:dyDescent="0.25">
      <c r="A189" s="1096"/>
      <c r="B189" s="1451" t="s">
        <v>1304</v>
      </c>
      <c r="C189" s="1452">
        <f>+MIN(F3:G3)</f>
        <v>0.95</v>
      </c>
      <c r="D189" s="1452">
        <f>+MIN(F4:G4)</f>
        <v>0.95</v>
      </c>
      <c r="E189" s="1452">
        <f>+MIN(F5:G5)</f>
        <v>0.95</v>
      </c>
      <c r="F189" s="1452">
        <f>+MIN(F6:G6)</f>
        <v>0.95</v>
      </c>
      <c r="G189" s="1452">
        <f>+MIN(F7:G7)</f>
        <v>0.95</v>
      </c>
      <c r="H189" s="1452">
        <f>+MIN(F8:G8)</f>
        <v>0.95</v>
      </c>
      <c r="I189" s="1452">
        <f>+MIN(F9:G9)</f>
        <v>0.95</v>
      </c>
      <c r="J189" s="1096"/>
      <c r="K189" s="1096"/>
      <c r="L189" s="1096"/>
      <c r="M189" s="1096"/>
      <c r="N189" s="1096"/>
      <c r="O189" s="1096"/>
      <c r="P189" s="1096"/>
      <c r="Q189" s="1096"/>
      <c r="R189" s="1096"/>
      <c r="S189" s="1096"/>
      <c r="T189" s="1096"/>
      <c r="U189" s="1096"/>
      <c r="V189" s="1096"/>
      <c r="W189" s="1096"/>
      <c r="X189" s="1096"/>
      <c r="Y189" s="1096"/>
      <c r="Z189" s="1096"/>
      <c r="AA189" s="1096"/>
      <c r="AB189" s="1096"/>
      <c r="AC189" s="1096"/>
      <c r="AD189" s="1096"/>
      <c r="AE189" s="1096"/>
      <c r="AF189" s="1096"/>
      <c r="AG189" s="1096"/>
      <c r="AH189" s="1096"/>
      <c r="AI189" s="1096"/>
      <c r="AJ189" s="1096"/>
    </row>
    <row r="190" spans="1:36" x14ac:dyDescent="0.25">
      <c r="A190" s="1096"/>
      <c r="B190" s="1451" t="s">
        <v>1306</v>
      </c>
      <c r="C190" s="1453">
        <v>1</v>
      </c>
      <c r="D190" s="1453">
        <v>1</v>
      </c>
      <c r="E190" s="1453">
        <v>1</v>
      </c>
      <c r="F190" s="1453">
        <v>1</v>
      </c>
      <c r="G190" s="1453">
        <v>1</v>
      </c>
      <c r="H190" s="1453">
        <v>1</v>
      </c>
      <c r="I190" s="1453">
        <v>1</v>
      </c>
      <c r="J190" s="1096"/>
      <c r="K190" s="1096"/>
      <c r="L190" s="1096"/>
      <c r="M190" s="1096"/>
      <c r="N190" s="1096"/>
      <c r="O190" s="1096"/>
      <c r="P190" s="1096"/>
      <c r="Q190" s="1096"/>
      <c r="R190" s="1096"/>
      <c r="S190" s="1096"/>
      <c r="T190" s="1096"/>
      <c r="U190" s="1096"/>
      <c r="V190" s="1096"/>
      <c r="W190" s="1096"/>
      <c r="X190" s="1096"/>
      <c r="Y190" s="1096"/>
      <c r="Z190" s="1096"/>
      <c r="AA190" s="1096"/>
      <c r="AB190" s="1096"/>
      <c r="AC190" s="1096"/>
      <c r="AD190" s="1096"/>
      <c r="AE190" s="1096"/>
      <c r="AF190" s="1096"/>
      <c r="AG190" s="1096"/>
      <c r="AH190" s="1096"/>
      <c r="AI190" s="1096"/>
      <c r="AJ190" s="1096"/>
    </row>
    <row r="191" spans="1:36" x14ac:dyDescent="0.25">
      <c r="A191" s="1096"/>
      <c r="B191" s="1451" t="s">
        <v>1305</v>
      </c>
      <c r="C191" s="1452">
        <f>+MAX(F3:G3)</f>
        <v>1.05</v>
      </c>
      <c r="D191" s="1452">
        <f>+MAX(F4:G4)</f>
        <v>1.05</v>
      </c>
      <c r="E191" s="1452">
        <f>+MAX(F5:G5)</f>
        <v>1.05</v>
      </c>
      <c r="F191" s="1452">
        <f>+MAX(F6:G6)</f>
        <v>1.05</v>
      </c>
      <c r="G191" s="1452">
        <f>+MAX(F7:G7)</f>
        <v>1.05</v>
      </c>
      <c r="H191" s="1452">
        <f>+MAX(F8:G8)</f>
        <v>1.05</v>
      </c>
      <c r="I191" s="1452">
        <f>+MAX(F9:G9)</f>
        <v>1.05</v>
      </c>
      <c r="J191" s="1096"/>
      <c r="K191" s="1096"/>
      <c r="L191" s="1096"/>
      <c r="M191" s="1096"/>
      <c r="N191" s="1096"/>
      <c r="O191" s="1096"/>
      <c r="P191" s="1096"/>
      <c r="Q191" s="1096"/>
      <c r="R191" s="1096"/>
      <c r="S191" s="1096"/>
      <c r="T191" s="1096"/>
      <c r="U191" s="1096"/>
      <c r="V191" s="1096"/>
      <c r="W191" s="1096"/>
      <c r="X191" s="1096"/>
      <c r="Y191" s="1096"/>
      <c r="Z191" s="1096"/>
      <c r="AA191" s="1096"/>
      <c r="AB191" s="1096"/>
      <c r="AC191" s="1096"/>
      <c r="AD191" s="1096"/>
      <c r="AE191" s="1096"/>
      <c r="AF191" s="1096"/>
      <c r="AG191" s="1096"/>
      <c r="AH191" s="1096"/>
      <c r="AI191" s="1096"/>
      <c r="AJ191" s="1096"/>
    </row>
    <row r="192" spans="1:36" x14ac:dyDescent="0.25">
      <c r="A192" s="1096"/>
      <c r="B192" s="1096"/>
      <c r="C192" s="1096"/>
      <c r="D192" s="1096"/>
      <c r="E192" s="1096"/>
      <c r="F192" s="1096"/>
      <c r="G192" s="1096"/>
      <c r="H192" s="1096"/>
      <c r="I192" s="1096"/>
      <c r="J192" s="1096"/>
      <c r="K192" s="1096"/>
      <c r="L192" s="1096"/>
      <c r="M192" s="1096"/>
      <c r="N192" s="1096"/>
      <c r="O192" s="1096"/>
      <c r="P192" s="1096"/>
      <c r="Q192" s="1096"/>
      <c r="R192" s="1096"/>
      <c r="S192" s="1096"/>
      <c r="T192" s="1096"/>
      <c r="U192" s="1096"/>
      <c r="V192" s="1096"/>
      <c r="W192" s="1096"/>
      <c r="X192" s="1096"/>
      <c r="Y192" s="1096"/>
      <c r="Z192" s="1096"/>
      <c r="AA192" s="1096"/>
      <c r="AB192" s="1096"/>
      <c r="AC192" s="1096"/>
      <c r="AD192" s="1096"/>
      <c r="AE192" s="1096"/>
      <c r="AF192" s="1096"/>
      <c r="AG192" s="1096"/>
      <c r="AH192" s="1096"/>
      <c r="AI192" s="1096"/>
      <c r="AJ192" s="1096"/>
    </row>
    <row r="193" spans="1:36" x14ac:dyDescent="0.25">
      <c r="A193" s="1096"/>
      <c r="B193" s="1096"/>
      <c r="C193" s="1096"/>
      <c r="D193" s="1096"/>
      <c r="E193" s="1096"/>
      <c r="F193" s="1096"/>
      <c r="G193" s="1096"/>
      <c r="H193" s="1096"/>
      <c r="I193" s="1096"/>
      <c r="J193" s="1096"/>
      <c r="K193" s="1096"/>
      <c r="L193" s="1096"/>
      <c r="M193" s="1096"/>
      <c r="N193" s="1096"/>
      <c r="O193" s="1096"/>
      <c r="P193" s="1096"/>
      <c r="Q193" s="1096"/>
      <c r="R193" s="1096"/>
      <c r="S193" s="1096"/>
      <c r="T193" s="1096"/>
      <c r="U193" s="1096"/>
      <c r="V193" s="1096"/>
      <c r="W193" s="1096"/>
      <c r="X193" s="1096"/>
      <c r="Y193" s="1096"/>
      <c r="Z193" s="1096"/>
      <c r="AA193" s="1096"/>
      <c r="AB193" s="1096"/>
      <c r="AC193" s="1096"/>
      <c r="AD193" s="1096"/>
      <c r="AE193" s="1096"/>
      <c r="AF193" s="1096"/>
      <c r="AG193" s="1096"/>
      <c r="AH193" s="1096"/>
      <c r="AI193" s="1096"/>
      <c r="AJ193" s="1096"/>
    </row>
    <row r="194" spans="1:36" x14ac:dyDescent="0.25">
      <c r="A194" s="1096"/>
      <c r="B194" s="1097" t="s">
        <v>1312</v>
      </c>
      <c r="C194" s="1096">
        <f>+MATCH(R12,C50:Y50,0)</f>
        <v>9</v>
      </c>
      <c r="D194" s="1096"/>
      <c r="E194" s="1096"/>
      <c r="F194" s="1096"/>
      <c r="G194" s="1096"/>
      <c r="H194" s="1096"/>
      <c r="I194" s="1096"/>
      <c r="J194" s="1096"/>
      <c r="K194" s="1096"/>
      <c r="L194" s="1096"/>
      <c r="M194" s="1096"/>
      <c r="N194" s="1096"/>
      <c r="O194" s="1096"/>
      <c r="P194" s="1096"/>
      <c r="Q194" s="1096"/>
      <c r="R194" s="1096"/>
      <c r="S194" s="1096"/>
      <c r="T194" s="1096"/>
      <c r="U194" s="1096"/>
      <c r="V194" s="1096"/>
      <c r="W194" s="1096"/>
      <c r="X194" s="1096"/>
      <c r="Y194" s="1096"/>
      <c r="Z194" s="1096"/>
      <c r="AA194" s="1096"/>
      <c r="AB194" s="1096"/>
      <c r="AC194" s="1096"/>
      <c r="AD194" s="1096"/>
      <c r="AE194" s="1096"/>
      <c r="AF194" s="1096"/>
      <c r="AG194" s="1096"/>
      <c r="AH194" s="1096"/>
      <c r="AI194" s="1096"/>
      <c r="AJ194" s="1096"/>
    </row>
    <row r="195" spans="1:36" x14ac:dyDescent="0.25">
      <c r="A195" s="1096"/>
      <c r="B195" s="1097" t="s">
        <v>1308</v>
      </c>
      <c r="C195" s="1096">
        <f ca="1">+MIN(OFFSET($B$251:$B$2250,0,C194))</f>
        <v>1.255880932792556</v>
      </c>
      <c r="D195" s="1096"/>
      <c r="E195" s="1096"/>
      <c r="F195" s="1096"/>
      <c r="G195" s="1096"/>
      <c r="H195" s="1096"/>
      <c r="I195" s="1096"/>
      <c r="J195" s="1096"/>
      <c r="K195" s="1096"/>
      <c r="L195" s="1096"/>
      <c r="M195" s="1096"/>
      <c r="N195" s="1096"/>
      <c r="O195" s="1096"/>
      <c r="P195" s="1096"/>
      <c r="Q195" s="1096"/>
      <c r="R195" s="1096"/>
      <c r="S195" s="1096"/>
      <c r="T195" s="1096"/>
      <c r="U195" s="1096"/>
      <c r="V195" s="1096"/>
      <c r="W195" s="1096"/>
      <c r="X195" s="1096"/>
      <c r="Y195" s="1096"/>
      <c r="Z195" s="1096"/>
      <c r="AA195" s="1096"/>
      <c r="AB195" s="1096"/>
      <c r="AC195" s="1096"/>
      <c r="AD195" s="1096"/>
      <c r="AE195" s="1096"/>
      <c r="AF195" s="1096"/>
      <c r="AG195" s="1096"/>
      <c r="AH195" s="1096"/>
      <c r="AI195" s="1096"/>
      <c r="AJ195" s="1096"/>
    </row>
    <row r="196" spans="1:36" x14ac:dyDescent="0.25">
      <c r="A196" s="1096"/>
      <c r="B196" s="1097" t="s">
        <v>1313</v>
      </c>
      <c r="C196" s="1096">
        <f ca="1">+MAX(OFFSET($B$251:$B$2250,0,C194))</f>
        <v>1.3742115915030395</v>
      </c>
      <c r="D196" s="1096"/>
      <c r="E196" s="1096"/>
      <c r="F196" s="1096"/>
      <c r="G196" s="1096"/>
      <c r="H196" s="1096"/>
      <c r="I196" s="1096"/>
      <c r="J196" s="1096"/>
      <c r="K196" s="1096"/>
      <c r="L196" s="1096"/>
      <c r="M196" s="1096"/>
      <c r="N196" s="1096"/>
      <c r="O196" s="1096"/>
      <c r="P196" s="1096"/>
      <c r="Q196" s="1096"/>
      <c r="R196" s="1096"/>
      <c r="S196" s="1096"/>
      <c r="T196" s="1096"/>
      <c r="U196" s="1096"/>
      <c r="V196" s="1096"/>
      <c r="W196" s="1096"/>
      <c r="X196" s="1096"/>
      <c r="Y196" s="1096"/>
      <c r="Z196" s="1096"/>
      <c r="AA196" s="1096"/>
      <c r="AB196" s="1096"/>
      <c r="AC196" s="1096"/>
      <c r="AD196" s="1096"/>
      <c r="AE196" s="1096"/>
      <c r="AF196" s="1096"/>
      <c r="AG196" s="1096"/>
      <c r="AH196" s="1096"/>
      <c r="AI196" s="1096"/>
      <c r="AJ196" s="1096"/>
    </row>
    <row r="197" spans="1:36" x14ac:dyDescent="0.25">
      <c r="A197" s="1096"/>
      <c r="B197" s="1097" t="s">
        <v>1315</v>
      </c>
      <c r="C197" s="1096">
        <f ca="1">+C196-C195</f>
        <v>0.11833065871048354</v>
      </c>
      <c r="D197" s="1096"/>
      <c r="E197" s="1096"/>
      <c r="F197" s="1096"/>
      <c r="G197" s="1096"/>
      <c r="H197" s="1096"/>
      <c r="I197" s="1096"/>
      <c r="J197" s="1096"/>
      <c r="K197" s="1096"/>
      <c r="L197" s="1096"/>
      <c r="M197" s="1096"/>
      <c r="N197" s="1096"/>
      <c r="O197" s="1096"/>
      <c r="P197" s="1096"/>
      <c r="Q197" s="1096"/>
      <c r="R197" s="1096"/>
      <c r="S197" s="1096"/>
      <c r="T197" s="1096"/>
      <c r="U197" s="1096"/>
      <c r="V197" s="1096"/>
      <c r="W197" s="1096"/>
      <c r="X197" s="1096"/>
      <c r="Y197" s="1096"/>
      <c r="Z197" s="1096"/>
      <c r="AA197" s="1096"/>
      <c r="AB197" s="1096"/>
      <c r="AC197" s="1096"/>
      <c r="AD197" s="1096"/>
      <c r="AE197" s="1096"/>
      <c r="AF197" s="1096"/>
      <c r="AG197" s="1096"/>
      <c r="AH197" s="1096"/>
      <c r="AI197" s="1096"/>
      <c r="AJ197" s="1096"/>
    </row>
    <row r="198" spans="1:36" x14ac:dyDescent="0.25">
      <c r="A198" s="1096"/>
      <c r="B198" s="1097" t="s">
        <v>1314</v>
      </c>
      <c r="C198" s="1096">
        <f ca="1">+OFFSET(B199,0,C194)</f>
        <v>1</v>
      </c>
      <c r="D198" s="1096"/>
      <c r="E198" s="1096"/>
      <c r="F198" s="1096"/>
      <c r="G198" s="1096"/>
      <c r="H198" s="1096"/>
      <c r="I198" s="1096"/>
      <c r="J198" s="1096"/>
      <c r="K198" s="1096"/>
      <c r="L198" s="1096"/>
      <c r="M198" s="1096"/>
      <c r="N198" s="1096"/>
      <c r="O198" s="1096"/>
      <c r="P198" s="1096"/>
      <c r="Q198" s="1096"/>
      <c r="R198" s="1096"/>
      <c r="S198" s="1096"/>
      <c r="T198" s="1096"/>
      <c r="U198" s="1096"/>
      <c r="V198" s="1096"/>
      <c r="W198" s="1096"/>
      <c r="X198" s="1096"/>
      <c r="Y198" s="1096"/>
      <c r="Z198" s="1096"/>
      <c r="AA198" s="1096"/>
      <c r="AB198" s="1096"/>
      <c r="AC198" s="1096"/>
      <c r="AD198" s="1096"/>
      <c r="AE198" s="1096"/>
      <c r="AF198" s="1096"/>
      <c r="AG198" s="1096"/>
      <c r="AH198" s="1096"/>
      <c r="AI198" s="1096"/>
      <c r="AJ198" s="1096"/>
    </row>
    <row r="199" spans="1:36" x14ac:dyDescent="0.25">
      <c r="A199" s="1096"/>
      <c r="B199" s="1097" t="s">
        <v>1314</v>
      </c>
      <c r="C199" s="1449">
        <f ca="1">+C3</f>
        <v>0.9</v>
      </c>
      <c r="D199" s="1456">
        <f ca="1">+C4</f>
        <v>379387</v>
      </c>
      <c r="E199" s="1449">
        <f ca="1">+C5</f>
        <v>0.08</v>
      </c>
      <c r="F199" s="1449">
        <f>+C6</f>
        <v>1</v>
      </c>
      <c r="G199" s="1449">
        <f>+C7</f>
        <v>1</v>
      </c>
      <c r="H199" s="1456">
        <f ca="1">+C8</f>
        <v>186511105.16343465</v>
      </c>
      <c r="I199" s="1456">
        <f ca="1">+C9</f>
        <v>7399368.537091447</v>
      </c>
      <c r="J199" s="1096"/>
      <c r="K199" s="1096">
        <v>1</v>
      </c>
      <c r="L199" s="1096">
        <v>1</v>
      </c>
      <c r="M199" s="1096">
        <v>1</v>
      </c>
      <c r="N199" s="1096">
        <v>1</v>
      </c>
      <c r="O199" s="1096">
        <v>1</v>
      </c>
      <c r="P199" s="1096">
        <v>1</v>
      </c>
      <c r="Q199" s="1096">
        <v>1</v>
      </c>
      <c r="R199" s="1096">
        <v>1</v>
      </c>
      <c r="S199" s="1096">
        <v>1</v>
      </c>
      <c r="T199" s="1096">
        <v>1</v>
      </c>
      <c r="U199" s="1096">
        <v>1</v>
      </c>
      <c r="V199" s="1096">
        <v>1</v>
      </c>
      <c r="W199" s="1096">
        <v>1</v>
      </c>
      <c r="X199" s="1096">
        <v>1</v>
      </c>
      <c r="Y199" s="1096"/>
      <c r="Z199" s="1096"/>
      <c r="AA199" s="1096"/>
      <c r="AB199" s="1096"/>
      <c r="AC199" s="1096"/>
      <c r="AD199" s="1096"/>
      <c r="AE199" s="1096"/>
      <c r="AF199" s="1096"/>
      <c r="AG199" s="1096"/>
      <c r="AH199" s="1096"/>
      <c r="AI199" s="1096"/>
      <c r="AJ199" s="1096"/>
    </row>
    <row r="200" spans="1:36" x14ac:dyDescent="0.25">
      <c r="A200" s="1096"/>
      <c r="B200" s="1097" t="s">
        <v>1311</v>
      </c>
      <c r="C200" s="1096"/>
      <c r="D200" s="1096"/>
      <c r="E200" s="1096"/>
      <c r="F200" s="1096"/>
      <c r="G200" s="1096"/>
      <c r="H200" s="1096"/>
      <c r="I200" s="1096"/>
      <c r="J200" s="1096"/>
      <c r="K200" s="1096"/>
      <c r="L200" s="1096"/>
      <c r="M200" s="1096"/>
      <c r="N200" s="1096"/>
      <c r="O200" s="1096"/>
      <c r="P200" s="1096"/>
      <c r="Q200" s="1096"/>
      <c r="R200" s="1096"/>
      <c r="S200" s="1096"/>
      <c r="T200" s="1096"/>
      <c r="U200" s="1096"/>
      <c r="V200" s="1096"/>
      <c r="W200" s="1096"/>
      <c r="X200" s="1096"/>
      <c r="Y200" s="1096"/>
      <c r="Z200" s="1096"/>
      <c r="AA200" s="1096"/>
      <c r="AB200" s="1096"/>
      <c r="AC200" s="1096"/>
      <c r="AD200" s="1096"/>
      <c r="AE200" s="1096"/>
      <c r="AF200" s="1096"/>
      <c r="AG200" s="1096"/>
      <c r="AH200" s="1096"/>
      <c r="AI200" s="1096"/>
      <c r="AJ200" s="1096"/>
    </row>
    <row r="201" spans="1:36" x14ac:dyDescent="0.25">
      <c r="A201" s="1096"/>
      <c r="B201" s="1097" t="s">
        <v>1308</v>
      </c>
      <c r="C201" s="1097" t="s">
        <v>1309</v>
      </c>
      <c r="D201" s="1096"/>
      <c r="E201" s="1097" t="s">
        <v>1316</v>
      </c>
      <c r="F201" s="1097" t="s">
        <v>1317</v>
      </c>
      <c r="G201" s="1097" t="s">
        <v>1318</v>
      </c>
      <c r="H201" s="1097" t="s">
        <v>1319</v>
      </c>
      <c r="I201" s="1097" t="s">
        <v>1320</v>
      </c>
      <c r="J201" s="1096"/>
      <c r="K201" s="1096"/>
      <c r="L201" s="1096"/>
      <c r="M201" s="1096"/>
      <c r="N201" s="1096"/>
      <c r="O201" s="1096"/>
      <c r="P201" s="1096"/>
      <c r="Q201" s="1096"/>
      <c r="R201" s="1096"/>
      <c r="S201" s="1096"/>
      <c r="T201" s="1096"/>
      <c r="U201" s="1096"/>
      <c r="V201" s="1096"/>
      <c r="W201" s="1096"/>
      <c r="X201" s="1096"/>
      <c r="Y201" s="1096"/>
      <c r="Z201" s="1096"/>
      <c r="AA201" s="1096"/>
      <c r="AB201" s="1096"/>
      <c r="AC201" s="1096"/>
      <c r="AD201" s="1096"/>
      <c r="AE201" s="1096"/>
      <c r="AF201" s="1096"/>
      <c r="AG201" s="1096"/>
      <c r="AH201" s="1096"/>
      <c r="AI201" s="1096"/>
      <c r="AJ201" s="1096"/>
    </row>
    <row r="202" spans="1:36" x14ac:dyDescent="0.25">
      <c r="A202" s="1096"/>
      <c r="B202" s="1101">
        <f ca="1">+C195</f>
        <v>1.255880932792556</v>
      </c>
      <c r="C202" s="1454">
        <f ca="1">+B202+($C$197/20)</f>
        <v>1.2617974657280802</v>
      </c>
      <c r="D202" s="1096">
        <f t="shared" ref="D202:D221" ca="1" si="88">+COUNTIFS(OFFSET(B$251:B$2250,0,$C$194),"&gt;="&amp;$B202,
OFFSET(B$251:B$2250,0,$C$194),"&lt;="&amp;$C202)</f>
        <v>4</v>
      </c>
      <c r="E202" s="1457">
        <f ca="1">+B202*$C$198</f>
        <v>1.255880932792556</v>
      </c>
      <c r="F202" s="1457">
        <f ca="1">+C202*$C$198</f>
        <v>1.2617974657280802</v>
      </c>
      <c r="G202" s="1456">
        <f ca="1">+AVERAGE(E202:F202)</f>
        <v>1.2588391992603181</v>
      </c>
      <c r="H202" s="1096">
        <f ca="1">+D202/$D$223</f>
        <v>2E-3</v>
      </c>
      <c r="I202" s="1096">
        <f ca="1">+H202</f>
        <v>2E-3</v>
      </c>
      <c r="J202" s="1096"/>
      <c r="K202" s="1096"/>
      <c r="L202" s="1096"/>
      <c r="M202" s="1096"/>
      <c r="N202" s="1096"/>
      <c r="O202" s="1096"/>
      <c r="P202" s="1096"/>
      <c r="Q202" s="1096"/>
      <c r="R202" s="1096"/>
      <c r="S202" s="1096"/>
      <c r="T202" s="1096"/>
      <c r="U202" s="1096"/>
      <c r="V202" s="1096"/>
      <c r="W202" s="1096"/>
      <c r="X202" s="1096"/>
      <c r="Y202" s="1096"/>
      <c r="Z202" s="1096"/>
      <c r="AA202" s="1096"/>
      <c r="AB202" s="1096"/>
      <c r="AC202" s="1096"/>
      <c r="AD202" s="1096"/>
      <c r="AE202" s="1096"/>
      <c r="AF202" s="1096"/>
      <c r="AG202" s="1096"/>
      <c r="AH202" s="1096"/>
      <c r="AI202" s="1096"/>
      <c r="AJ202" s="1096"/>
    </row>
    <row r="203" spans="1:36" x14ac:dyDescent="0.25">
      <c r="A203" s="1096"/>
      <c r="B203" s="1101">
        <f ca="1">+C202</f>
        <v>1.2617974657280802</v>
      </c>
      <c r="C203" s="1454">
        <f t="shared" ref="C203:C220" ca="1" si="89">+B203+($C$197/20)</f>
        <v>1.2677139986636043</v>
      </c>
      <c r="D203" s="1096">
        <f t="shared" ca="1" si="88"/>
        <v>16</v>
      </c>
      <c r="E203" s="1457">
        <f t="shared" ref="E203:E221" ca="1" si="90">+B203*$C$198</f>
        <v>1.2617974657280802</v>
      </c>
      <c r="F203" s="1457">
        <f t="shared" ref="F203:F222" ca="1" si="91">+C203*$C$198</f>
        <v>1.2677139986636043</v>
      </c>
      <c r="G203" s="1456">
        <f t="shared" ref="G203:G222" ca="1" si="92">+AVERAGE(E203:F203)</f>
        <v>1.2647557321958423</v>
      </c>
      <c r="H203" s="1096">
        <f t="shared" ref="H203:H221" ca="1" si="93">+D203/$D$223</f>
        <v>8.0000000000000002E-3</v>
      </c>
      <c r="I203" s="1096">
        <f ca="1">+I202+H203</f>
        <v>0.01</v>
      </c>
      <c r="J203" s="1096"/>
      <c r="K203" s="1096"/>
      <c r="L203" s="1096"/>
      <c r="M203" s="1096"/>
      <c r="N203" s="1096"/>
      <c r="O203" s="1096"/>
      <c r="P203" s="1096"/>
      <c r="Q203" s="1096"/>
      <c r="R203" s="1096"/>
      <c r="S203" s="1096"/>
      <c r="T203" s="1096"/>
      <c r="U203" s="1096"/>
      <c r="V203" s="1096"/>
      <c r="W203" s="1096"/>
      <c r="X203" s="1096"/>
      <c r="Y203" s="1096"/>
      <c r="Z203" s="1096"/>
      <c r="AA203" s="1096"/>
      <c r="AB203" s="1096"/>
      <c r="AC203" s="1096"/>
      <c r="AD203" s="1096"/>
      <c r="AE203" s="1096"/>
      <c r="AF203" s="1096"/>
      <c r="AG203" s="1096"/>
      <c r="AH203" s="1096"/>
      <c r="AI203" s="1096"/>
      <c r="AJ203" s="1096"/>
    </row>
    <row r="204" spans="1:36" x14ac:dyDescent="0.25">
      <c r="A204" s="1096"/>
      <c r="B204" s="1101">
        <f t="shared" ref="B204:B221" ca="1" si="94">+C203</f>
        <v>1.2677139986636043</v>
      </c>
      <c r="C204" s="1454">
        <f t="shared" ca="1" si="89"/>
        <v>1.2736305315991285</v>
      </c>
      <c r="D204" s="1096">
        <f t="shared" ca="1" si="88"/>
        <v>39</v>
      </c>
      <c r="E204" s="1457">
        <f t="shared" ca="1" si="90"/>
        <v>1.2677139986636043</v>
      </c>
      <c r="F204" s="1457">
        <f t="shared" ca="1" si="91"/>
        <v>1.2736305315991285</v>
      </c>
      <c r="G204" s="1456">
        <f t="shared" ca="1" si="92"/>
        <v>1.2706722651313664</v>
      </c>
      <c r="H204" s="1096">
        <f t="shared" ca="1" si="93"/>
        <v>1.95E-2</v>
      </c>
      <c r="I204" s="1096">
        <f t="shared" ref="I204:I221" ca="1" si="95">+I203+H204</f>
        <v>2.9499999999999998E-2</v>
      </c>
      <c r="J204" s="1096"/>
      <c r="K204" s="1096"/>
      <c r="L204" s="1096"/>
      <c r="M204" s="1096"/>
      <c r="N204" s="1096"/>
      <c r="O204" s="1096"/>
      <c r="P204" s="1096"/>
      <c r="Q204" s="1096"/>
      <c r="R204" s="1096"/>
      <c r="S204" s="1096"/>
      <c r="T204" s="1096"/>
      <c r="U204" s="1096"/>
      <c r="V204" s="1096"/>
      <c r="W204" s="1096"/>
      <c r="X204" s="1096"/>
      <c r="Y204" s="1096"/>
      <c r="Z204" s="1096"/>
      <c r="AA204" s="1096"/>
      <c r="AB204" s="1096"/>
      <c r="AC204" s="1096"/>
      <c r="AD204" s="1096"/>
      <c r="AE204" s="1096"/>
      <c r="AF204" s="1096"/>
      <c r="AG204" s="1096"/>
      <c r="AH204" s="1096"/>
      <c r="AI204" s="1096"/>
      <c r="AJ204" s="1096"/>
    </row>
    <row r="205" spans="1:36" x14ac:dyDescent="0.25">
      <c r="A205" s="1096"/>
      <c r="B205" s="1101">
        <f t="shared" ca="1" si="94"/>
        <v>1.2736305315991285</v>
      </c>
      <c r="C205" s="1454">
        <f t="shared" ca="1" si="89"/>
        <v>1.2795470645346527</v>
      </c>
      <c r="D205" s="1096">
        <f t="shared" ca="1" si="88"/>
        <v>57</v>
      </c>
      <c r="E205" s="1457">
        <f t="shared" ca="1" si="90"/>
        <v>1.2736305315991285</v>
      </c>
      <c r="F205" s="1457">
        <f t="shared" ca="1" si="91"/>
        <v>1.2795470645346527</v>
      </c>
      <c r="G205" s="1456">
        <f t="shared" ca="1" si="92"/>
        <v>1.2765887980668906</v>
      </c>
      <c r="H205" s="1096">
        <f t="shared" ca="1" si="93"/>
        <v>2.8500000000000001E-2</v>
      </c>
      <c r="I205" s="1096">
        <f t="shared" ca="1" si="95"/>
        <v>5.7999999999999996E-2</v>
      </c>
      <c r="J205" s="1096"/>
      <c r="K205" s="1096"/>
      <c r="L205" s="1096"/>
      <c r="M205" s="1096"/>
      <c r="N205" s="1096"/>
      <c r="O205" s="1096"/>
      <c r="P205" s="1096"/>
      <c r="Q205" s="1096"/>
      <c r="R205" s="1096"/>
      <c r="S205" s="1096"/>
      <c r="T205" s="1096"/>
      <c r="U205" s="1096"/>
      <c r="V205" s="1096"/>
      <c r="W205" s="1096"/>
      <c r="X205" s="1096"/>
      <c r="Y205" s="1096"/>
      <c r="Z205" s="1096"/>
      <c r="AA205" s="1096"/>
      <c r="AB205" s="1096"/>
      <c r="AC205" s="1096"/>
      <c r="AD205" s="1096"/>
      <c r="AE205" s="1096"/>
      <c r="AF205" s="1096"/>
      <c r="AG205" s="1096"/>
      <c r="AH205" s="1096"/>
      <c r="AI205" s="1096"/>
      <c r="AJ205" s="1096"/>
    </row>
    <row r="206" spans="1:36" x14ac:dyDescent="0.25">
      <c r="A206" s="1096"/>
      <c r="B206" s="1101">
        <f t="shared" ca="1" si="94"/>
        <v>1.2795470645346527</v>
      </c>
      <c r="C206" s="1454">
        <f t="shared" ca="1" si="89"/>
        <v>1.2854635974701769</v>
      </c>
      <c r="D206" s="1096">
        <f t="shared" ca="1" si="88"/>
        <v>79</v>
      </c>
      <c r="E206" s="1457">
        <f t="shared" ca="1" si="90"/>
        <v>1.2795470645346527</v>
      </c>
      <c r="F206" s="1457">
        <f t="shared" ca="1" si="91"/>
        <v>1.2854635974701769</v>
      </c>
      <c r="G206" s="1456">
        <f t="shared" ca="1" si="92"/>
        <v>1.2825053310024148</v>
      </c>
      <c r="H206" s="1096">
        <f t="shared" ca="1" si="93"/>
        <v>3.95E-2</v>
      </c>
      <c r="I206" s="1096">
        <f t="shared" ca="1" si="95"/>
        <v>9.7500000000000003E-2</v>
      </c>
      <c r="J206" s="1096"/>
      <c r="K206" s="1096"/>
      <c r="L206" s="1096"/>
      <c r="M206" s="1096"/>
      <c r="N206" s="1096"/>
      <c r="O206" s="1096"/>
      <c r="P206" s="1096"/>
      <c r="Q206" s="1096"/>
      <c r="R206" s="1096"/>
      <c r="S206" s="1096"/>
      <c r="T206" s="1096"/>
      <c r="U206" s="1096"/>
      <c r="V206" s="1096"/>
      <c r="W206" s="1096"/>
      <c r="X206" s="1096"/>
      <c r="Y206" s="1096"/>
      <c r="Z206" s="1096"/>
      <c r="AA206" s="1096"/>
      <c r="AB206" s="1096"/>
      <c r="AC206" s="1096"/>
      <c r="AD206" s="1096"/>
      <c r="AE206" s="1096"/>
      <c r="AF206" s="1096"/>
      <c r="AG206" s="1096"/>
      <c r="AH206" s="1096"/>
      <c r="AI206" s="1096"/>
      <c r="AJ206" s="1096"/>
    </row>
    <row r="207" spans="1:36" x14ac:dyDescent="0.25">
      <c r="A207" s="1096"/>
      <c r="B207" s="1101">
        <f t="shared" ca="1" si="94"/>
        <v>1.2854635974701769</v>
      </c>
      <c r="C207" s="1454">
        <f t="shared" ca="1" si="89"/>
        <v>1.2913801304057011</v>
      </c>
      <c r="D207" s="1096">
        <f t="shared" ca="1" si="88"/>
        <v>128</v>
      </c>
      <c r="E207" s="1457">
        <f t="shared" ca="1" si="90"/>
        <v>1.2854635974701769</v>
      </c>
      <c r="F207" s="1457">
        <f t="shared" ca="1" si="91"/>
        <v>1.2913801304057011</v>
      </c>
      <c r="G207" s="1456">
        <f t="shared" ca="1" si="92"/>
        <v>1.288421863937939</v>
      </c>
      <c r="H207" s="1096">
        <f t="shared" ca="1" si="93"/>
        <v>6.4000000000000001E-2</v>
      </c>
      <c r="I207" s="1096">
        <f t="shared" ca="1" si="95"/>
        <v>0.1615</v>
      </c>
      <c r="J207" s="1096"/>
      <c r="K207" s="1096"/>
      <c r="L207" s="1096"/>
      <c r="M207" s="1096"/>
      <c r="N207" s="1096"/>
      <c r="O207" s="1096"/>
      <c r="P207" s="1096"/>
      <c r="Q207" s="1096"/>
      <c r="R207" s="1096"/>
      <c r="S207" s="1096"/>
      <c r="T207" s="1096"/>
      <c r="U207" s="1096"/>
      <c r="V207" s="1096"/>
      <c r="W207" s="1096"/>
      <c r="X207" s="1096"/>
      <c r="Y207" s="1096"/>
      <c r="Z207" s="1096"/>
      <c r="AA207" s="1096"/>
      <c r="AB207" s="1096"/>
      <c r="AC207" s="1096"/>
      <c r="AD207" s="1096"/>
      <c r="AE207" s="1096"/>
      <c r="AF207" s="1096"/>
      <c r="AG207" s="1096"/>
      <c r="AH207" s="1096"/>
      <c r="AI207" s="1096"/>
      <c r="AJ207" s="1096"/>
    </row>
    <row r="208" spans="1:36" x14ac:dyDescent="0.25">
      <c r="A208" s="1096"/>
      <c r="B208" s="1101">
        <f t="shared" ca="1" si="94"/>
        <v>1.2913801304057011</v>
      </c>
      <c r="C208" s="1454">
        <f t="shared" ca="1" si="89"/>
        <v>1.2972966633412253</v>
      </c>
      <c r="D208" s="1096">
        <f t="shared" ca="1" si="88"/>
        <v>120</v>
      </c>
      <c r="E208" s="1457">
        <f t="shared" ca="1" si="90"/>
        <v>1.2913801304057011</v>
      </c>
      <c r="F208" s="1457">
        <f t="shared" ca="1" si="91"/>
        <v>1.2972966633412253</v>
      </c>
      <c r="G208" s="1456">
        <f t="shared" ca="1" si="92"/>
        <v>1.2943383968734632</v>
      </c>
      <c r="H208" s="1096">
        <f t="shared" ca="1" si="93"/>
        <v>0.06</v>
      </c>
      <c r="I208" s="1096">
        <f t="shared" ca="1" si="95"/>
        <v>0.2215</v>
      </c>
      <c r="J208" s="1096"/>
      <c r="K208" s="1096"/>
      <c r="L208" s="1096"/>
      <c r="M208" s="1096"/>
      <c r="N208" s="1096"/>
      <c r="O208" s="1096"/>
      <c r="P208" s="1096"/>
      <c r="Q208" s="1096"/>
      <c r="R208" s="1096"/>
      <c r="S208" s="1096"/>
      <c r="T208" s="1096"/>
      <c r="U208" s="1096"/>
      <c r="V208" s="1096"/>
      <c r="W208" s="1096"/>
      <c r="X208" s="1096"/>
      <c r="Y208" s="1096"/>
      <c r="Z208" s="1096"/>
      <c r="AA208" s="1096"/>
      <c r="AB208" s="1096"/>
      <c r="AC208" s="1096"/>
      <c r="AD208" s="1096"/>
      <c r="AE208" s="1096"/>
      <c r="AF208" s="1096"/>
      <c r="AG208" s="1096"/>
      <c r="AH208" s="1096"/>
      <c r="AI208" s="1096"/>
      <c r="AJ208" s="1096"/>
    </row>
    <row r="209" spans="1:36" x14ac:dyDescent="0.25">
      <c r="A209" s="1096"/>
      <c r="B209" s="1101">
        <f t="shared" ca="1" si="94"/>
        <v>1.2972966633412253</v>
      </c>
      <c r="C209" s="1454">
        <f t="shared" ca="1" si="89"/>
        <v>1.3032131962767495</v>
      </c>
      <c r="D209" s="1096">
        <f t="shared" ca="1" si="88"/>
        <v>162</v>
      </c>
      <c r="E209" s="1457">
        <f t="shared" ca="1" si="90"/>
        <v>1.2972966633412253</v>
      </c>
      <c r="F209" s="1457">
        <f t="shared" ca="1" si="91"/>
        <v>1.3032131962767495</v>
      </c>
      <c r="G209" s="1456">
        <f t="shared" ca="1" si="92"/>
        <v>1.3002549298089874</v>
      </c>
      <c r="H209" s="1096">
        <f t="shared" ca="1" si="93"/>
        <v>8.1000000000000003E-2</v>
      </c>
      <c r="I209" s="1096">
        <f t="shared" ca="1" si="95"/>
        <v>0.30249999999999999</v>
      </c>
      <c r="J209" s="1096"/>
      <c r="K209" s="1096"/>
      <c r="L209" s="1096"/>
      <c r="M209" s="1096"/>
      <c r="N209" s="1096"/>
      <c r="O209" s="1096"/>
      <c r="P209" s="1096"/>
      <c r="Q209" s="1096"/>
      <c r="R209" s="1096"/>
      <c r="S209" s="1096"/>
      <c r="T209" s="1096"/>
      <c r="U209" s="1096"/>
      <c r="V209" s="1096"/>
      <c r="W209" s="1096"/>
      <c r="X209" s="1096"/>
      <c r="Y209" s="1096"/>
      <c r="Z209" s="1096"/>
      <c r="AA209" s="1096"/>
      <c r="AB209" s="1096"/>
      <c r="AC209" s="1096"/>
      <c r="AD209" s="1096"/>
      <c r="AE209" s="1096"/>
      <c r="AF209" s="1096"/>
      <c r="AG209" s="1096"/>
      <c r="AH209" s="1096"/>
      <c r="AI209" s="1096"/>
      <c r="AJ209" s="1096"/>
    </row>
    <row r="210" spans="1:36" x14ac:dyDescent="0.25">
      <c r="A210" s="1096"/>
      <c r="B210" s="1101">
        <f t="shared" ca="1" si="94"/>
        <v>1.3032131962767495</v>
      </c>
      <c r="C210" s="1454">
        <f t="shared" ca="1" si="89"/>
        <v>1.3091297292122737</v>
      </c>
      <c r="D210" s="1096">
        <f t="shared" ca="1" si="88"/>
        <v>182</v>
      </c>
      <c r="E210" s="1457">
        <f t="shared" ca="1" si="90"/>
        <v>1.3032131962767495</v>
      </c>
      <c r="F210" s="1457">
        <f t="shared" ca="1" si="91"/>
        <v>1.3091297292122737</v>
      </c>
      <c r="G210" s="1456">
        <f t="shared" ca="1" si="92"/>
        <v>1.3061714627445116</v>
      </c>
      <c r="H210" s="1096">
        <f t="shared" ca="1" si="93"/>
        <v>9.0999999999999998E-2</v>
      </c>
      <c r="I210" s="1096">
        <f t="shared" ca="1" si="95"/>
        <v>0.39349999999999996</v>
      </c>
      <c r="J210" s="1096"/>
      <c r="K210" s="1096"/>
      <c r="L210" s="1096"/>
      <c r="M210" s="1096"/>
      <c r="N210" s="1096"/>
      <c r="O210" s="1096"/>
      <c r="P210" s="1096"/>
      <c r="Q210" s="1096"/>
      <c r="R210" s="1096"/>
      <c r="S210" s="1096"/>
      <c r="T210" s="1096"/>
      <c r="U210" s="1096"/>
      <c r="V210" s="1096"/>
      <c r="W210" s="1096"/>
      <c r="X210" s="1096"/>
      <c r="Y210" s="1096"/>
      <c r="Z210" s="1096"/>
      <c r="AA210" s="1096"/>
      <c r="AB210" s="1096"/>
      <c r="AC210" s="1096"/>
      <c r="AD210" s="1096"/>
      <c r="AE210" s="1096"/>
      <c r="AF210" s="1096"/>
      <c r="AG210" s="1096"/>
      <c r="AH210" s="1096"/>
      <c r="AI210" s="1096"/>
      <c r="AJ210" s="1096"/>
    </row>
    <row r="211" spans="1:36" x14ac:dyDescent="0.25">
      <c r="A211" s="1096"/>
      <c r="B211" s="1101">
        <f t="shared" ca="1" si="94"/>
        <v>1.3091297292122737</v>
      </c>
      <c r="C211" s="1454">
        <f t="shared" ca="1" si="89"/>
        <v>1.3150462621477979</v>
      </c>
      <c r="D211" s="1096">
        <f t="shared" ca="1" si="88"/>
        <v>187</v>
      </c>
      <c r="E211" s="1457">
        <f t="shared" ca="1" si="90"/>
        <v>1.3091297292122737</v>
      </c>
      <c r="F211" s="1457">
        <f t="shared" ca="1" si="91"/>
        <v>1.3150462621477979</v>
      </c>
      <c r="G211" s="1456">
        <f t="shared" ca="1" si="92"/>
        <v>1.3120879956800358</v>
      </c>
      <c r="H211" s="1096">
        <f t="shared" ca="1" si="93"/>
        <v>9.35E-2</v>
      </c>
      <c r="I211" s="1096">
        <f t="shared" ca="1" si="95"/>
        <v>0.48699999999999999</v>
      </c>
      <c r="J211" s="1096"/>
      <c r="K211" s="1096"/>
      <c r="L211" s="1096"/>
      <c r="M211" s="1096"/>
      <c r="N211" s="1096"/>
      <c r="O211" s="1096"/>
      <c r="P211" s="1096"/>
      <c r="Q211" s="1096"/>
      <c r="R211" s="1096"/>
      <c r="S211" s="1096"/>
      <c r="T211" s="1096"/>
      <c r="U211" s="1096"/>
      <c r="V211" s="1096"/>
      <c r="W211" s="1096"/>
      <c r="X211" s="1096"/>
      <c r="Y211" s="1096"/>
      <c r="Z211" s="1096"/>
      <c r="AA211" s="1096"/>
      <c r="AB211" s="1096"/>
      <c r="AC211" s="1096"/>
      <c r="AD211" s="1096"/>
      <c r="AE211" s="1096"/>
      <c r="AF211" s="1096"/>
      <c r="AG211" s="1096"/>
      <c r="AH211" s="1096"/>
      <c r="AI211" s="1096"/>
      <c r="AJ211" s="1096"/>
    </row>
    <row r="212" spans="1:36" x14ac:dyDescent="0.25">
      <c r="A212" s="1096"/>
      <c r="B212" s="1101">
        <f t="shared" ca="1" si="94"/>
        <v>1.3150462621477979</v>
      </c>
      <c r="C212" s="1454">
        <f t="shared" ca="1" si="89"/>
        <v>1.320962795083322</v>
      </c>
      <c r="D212" s="1096">
        <f t="shared" ca="1" si="88"/>
        <v>195</v>
      </c>
      <c r="E212" s="1457">
        <f t="shared" ca="1" si="90"/>
        <v>1.3150462621477979</v>
      </c>
      <c r="F212" s="1457">
        <f t="shared" ca="1" si="91"/>
        <v>1.320962795083322</v>
      </c>
      <c r="G212" s="1456">
        <f t="shared" ca="1" si="92"/>
        <v>1.3180045286155599</v>
      </c>
      <c r="H212" s="1096">
        <f t="shared" ca="1" si="93"/>
        <v>9.7500000000000003E-2</v>
      </c>
      <c r="I212" s="1096">
        <f t="shared" ca="1" si="95"/>
        <v>0.58450000000000002</v>
      </c>
      <c r="J212" s="1096"/>
      <c r="K212" s="1096"/>
      <c r="L212" s="1096"/>
      <c r="M212" s="1096"/>
      <c r="N212" s="1096"/>
      <c r="O212" s="1096"/>
      <c r="P212" s="1096"/>
      <c r="Q212" s="1096"/>
      <c r="R212" s="1096"/>
      <c r="S212" s="1096"/>
      <c r="T212" s="1096"/>
      <c r="U212" s="1096"/>
      <c r="V212" s="1096"/>
      <c r="W212" s="1096"/>
      <c r="X212" s="1096"/>
      <c r="Y212" s="1096"/>
      <c r="Z212" s="1096"/>
      <c r="AA212" s="1096"/>
      <c r="AB212" s="1096"/>
      <c r="AC212" s="1096"/>
      <c r="AD212" s="1096"/>
      <c r="AE212" s="1096"/>
      <c r="AF212" s="1096"/>
      <c r="AG212" s="1096"/>
      <c r="AH212" s="1096"/>
      <c r="AI212" s="1096"/>
      <c r="AJ212" s="1096"/>
    </row>
    <row r="213" spans="1:36" x14ac:dyDescent="0.25">
      <c r="A213" s="1096"/>
      <c r="B213" s="1101">
        <f t="shared" ca="1" si="94"/>
        <v>1.320962795083322</v>
      </c>
      <c r="C213" s="1454">
        <f t="shared" ca="1" si="89"/>
        <v>1.3268793280188462</v>
      </c>
      <c r="D213" s="1096">
        <f t="shared" ca="1" si="88"/>
        <v>201</v>
      </c>
      <c r="E213" s="1457">
        <f t="shared" ca="1" si="90"/>
        <v>1.320962795083322</v>
      </c>
      <c r="F213" s="1457">
        <f t="shared" ca="1" si="91"/>
        <v>1.3268793280188462</v>
      </c>
      <c r="G213" s="1456">
        <f t="shared" ca="1" si="92"/>
        <v>1.3239210615510841</v>
      </c>
      <c r="H213" s="1096">
        <f t="shared" ca="1" si="93"/>
        <v>0.10050000000000001</v>
      </c>
      <c r="I213" s="1096">
        <f t="shared" ca="1" si="95"/>
        <v>0.68500000000000005</v>
      </c>
      <c r="J213" s="1096"/>
      <c r="K213" s="1096"/>
      <c r="L213" s="1096"/>
      <c r="M213" s="1096"/>
      <c r="N213" s="1096"/>
      <c r="O213" s="1096"/>
      <c r="P213" s="1096"/>
      <c r="Q213" s="1096"/>
      <c r="R213" s="1096"/>
      <c r="S213" s="1096"/>
      <c r="T213" s="1096"/>
      <c r="U213" s="1096"/>
      <c r="V213" s="1096"/>
      <c r="W213" s="1096"/>
      <c r="X213" s="1096"/>
      <c r="Y213" s="1096"/>
      <c r="Z213" s="1096"/>
      <c r="AA213" s="1096"/>
      <c r="AB213" s="1096"/>
      <c r="AC213" s="1096"/>
      <c r="AD213" s="1096"/>
      <c r="AE213" s="1096"/>
      <c r="AF213" s="1096"/>
      <c r="AG213" s="1096"/>
      <c r="AH213" s="1096"/>
      <c r="AI213" s="1096"/>
      <c r="AJ213" s="1096"/>
    </row>
    <row r="214" spans="1:36" x14ac:dyDescent="0.25">
      <c r="A214" s="1096"/>
      <c r="B214" s="1101">
        <f t="shared" ca="1" si="94"/>
        <v>1.3268793280188462</v>
      </c>
      <c r="C214" s="1454">
        <f t="shared" ca="1" si="89"/>
        <v>1.3327958609543704</v>
      </c>
      <c r="D214" s="1096">
        <f t="shared" ca="1" si="88"/>
        <v>164</v>
      </c>
      <c r="E214" s="1457">
        <f t="shared" ca="1" si="90"/>
        <v>1.3268793280188462</v>
      </c>
      <c r="F214" s="1457">
        <f t="shared" ca="1" si="91"/>
        <v>1.3327958609543704</v>
      </c>
      <c r="G214" s="1456">
        <f t="shared" ca="1" si="92"/>
        <v>1.3298375944866083</v>
      </c>
      <c r="H214" s="1096">
        <f t="shared" ca="1" si="93"/>
        <v>8.2000000000000003E-2</v>
      </c>
      <c r="I214" s="1096">
        <f t="shared" ca="1" si="95"/>
        <v>0.76700000000000002</v>
      </c>
      <c r="J214" s="1096"/>
      <c r="K214" s="1096"/>
      <c r="L214" s="1096"/>
      <c r="M214" s="1096"/>
      <c r="N214" s="1096"/>
      <c r="O214" s="1096"/>
      <c r="P214" s="1096"/>
      <c r="Q214" s="1096"/>
      <c r="R214" s="1096"/>
      <c r="S214" s="1096"/>
      <c r="T214" s="1096"/>
      <c r="U214" s="1096"/>
      <c r="V214" s="1096"/>
      <c r="W214" s="1096"/>
      <c r="X214" s="1096"/>
      <c r="Y214" s="1096"/>
      <c r="Z214" s="1096"/>
      <c r="AA214" s="1096"/>
      <c r="AB214" s="1096"/>
      <c r="AC214" s="1096"/>
      <c r="AD214" s="1096"/>
      <c r="AE214" s="1096"/>
      <c r="AF214" s="1096"/>
      <c r="AG214" s="1096"/>
      <c r="AH214" s="1096"/>
      <c r="AI214" s="1096"/>
      <c r="AJ214" s="1096"/>
    </row>
    <row r="215" spans="1:36" x14ac:dyDescent="0.25">
      <c r="A215" s="1096"/>
      <c r="B215" s="1101">
        <f t="shared" ca="1" si="94"/>
        <v>1.3327958609543704</v>
      </c>
      <c r="C215" s="1454">
        <f t="shared" ca="1" si="89"/>
        <v>1.3387123938898946</v>
      </c>
      <c r="D215" s="1096">
        <f t="shared" ca="1" si="88"/>
        <v>133</v>
      </c>
      <c r="E215" s="1457">
        <f t="shared" ca="1" si="90"/>
        <v>1.3327958609543704</v>
      </c>
      <c r="F215" s="1457">
        <f t="shared" ca="1" si="91"/>
        <v>1.3387123938898946</v>
      </c>
      <c r="G215" s="1456">
        <f t="shared" ca="1" si="92"/>
        <v>1.3357541274221325</v>
      </c>
      <c r="H215" s="1096">
        <f t="shared" ca="1" si="93"/>
        <v>6.6500000000000004E-2</v>
      </c>
      <c r="I215" s="1096">
        <f t="shared" ca="1" si="95"/>
        <v>0.83350000000000002</v>
      </c>
      <c r="J215" s="1096"/>
      <c r="K215" s="1096"/>
      <c r="L215" s="1096"/>
      <c r="M215" s="1096"/>
      <c r="N215" s="1096"/>
      <c r="O215" s="1096"/>
      <c r="P215" s="1096"/>
      <c r="Q215" s="1096"/>
      <c r="R215" s="1096"/>
      <c r="S215" s="1096"/>
      <c r="T215" s="1096"/>
      <c r="U215" s="1096"/>
      <c r="V215" s="1096"/>
      <c r="W215" s="1096"/>
      <c r="X215" s="1096"/>
      <c r="Y215" s="1096"/>
      <c r="Z215" s="1096"/>
      <c r="AA215" s="1096"/>
      <c r="AB215" s="1096"/>
      <c r="AC215" s="1096"/>
      <c r="AD215" s="1096"/>
      <c r="AE215" s="1096"/>
      <c r="AF215" s="1096"/>
      <c r="AG215" s="1096"/>
      <c r="AH215" s="1096"/>
      <c r="AI215" s="1096"/>
      <c r="AJ215" s="1096"/>
    </row>
    <row r="216" spans="1:36" x14ac:dyDescent="0.25">
      <c r="A216" s="1096"/>
      <c r="B216" s="1101">
        <f t="shared" ca="1" si="94"/>
        <v>1.3387123938898946</v>
      </c>
      <c r="C216" s="1454">
        <f t="shared" ca="1" si="89"/>
        <v>1.3446289268254188</v>
      </c>
      <c r="D216" s="1096">
        <f t="shared" ca="1" si="88"/>
        <v>104</v>
      </c>
      <c r="E216" s="1457">
        <f t="shared" ca="1" si="90"/>
        <v>1.3387123938898946</v>
      </c>
      <c r="F216" s="1457">
        <f t="shared" ca="1" si="91"/>
        <v>1.3446289268254188</v>
      </c>
      <c r="G216" s="1456">
        <f t="shared" ca="1" si="92"/>
        <v>1.3416706603576567</v>
      </c>
      <c r="H216" s="1096">
        <f t="shared" ca="1" si="93"/>
        <v>5.1999999999999998E-2</v>
      </c>
      <c r="I216" s="1096">
        <f t="shared" ca="1" si="95"/>
        <v>0.88550000000000006</v>
      </c>
      <c r="J216" s="1096"/>
      <c r="K216" s="1096"/>
      <c r="L216" s="1096"/>
      <c r="M216" s="1096"/>
      <c r="N216" s="1096"/>
      <c r="O216" s="1096"/>
      <c r="P216" s="1096"/>
      <c r="Q216" s="1096"/>
      <c r="R216" s="1096"/>
      <c r="S216" s="1096"/>
      <c r="T216" s="1096"/>
      <c r="U216" s="1096"/>
      <c r="V216" s="1096"/>
      <c r="W216" s="1096"/>
      <c r="X216" s="1096"/>
      <c r="Y216" s="1096"/>
      <c r="Z216" s="1096"/>
      <c r="AA216" s="1096"/>
      <c r="AB216" s="1096"/>
      <c r="AC216" s="1096"/>
      <c r="AD216" s="1096"/>
      <c r="AE216" s="1096"/>
      <c r="AF216" s="1096"/>
      <c r="AG216" s="1096"/>
      <c r="AH216" s="1096"/>
      <c r="AI216" s="1096"/>
      <c r="AJ216" s="1096"/>
    </row>
    <row r="217" spans="1:36" x14ac:dyDescent="0.25">
      <c r="A217" s="1096"/>
      <c r="B217" s="1101">
        <f t="shared" ca="1" si="94"/>
        <v>1.3446289268254188</v>
      </c>
      <c r="C217" s="1454">
        <f t="shared" ca="1" si="89"/>
        <v>1.350545459760943</v>
      </c>
      <c r="D217" s="1096">
        <f t="shared" ca="1" si="88"/>
        <v>83</v>
      </c>
      <c r="E217" s="1457">
        <f t="shared" ca="1" si="90"/>
        <v>1.3446289268254188</v>
      </c>
      <c r="F217" s="1457">
        <f t="shared" ca="1" si="91"/>
        <v>1.350545459760943</v>
      </c>
      <c r="G217" s="1456">
        <f t="shared" ca="1" si="92"/>
        <v>1.3475871932931809</v>
      </c>
      <c r="H217" s="1096">
        <f t="shared" ca="1" si="93"/>
        <v>4.1500000000000002E-2</v>
      </c>
      <c r="I217" s="1096">
        <f t="shared" ca="1" si="95"/>
        <v>0.92700000000000005</v>
      </c>
      <c r="J217" s="1096"/>
      <c r="K217" s="1096"/>
      <c r="L217" s="1096"/>
      <c r="M217" s="1096"/>
      <c r="N217" s="1096"/>
      <c r="O217" s="1096"/>
      <c r="P217" s="1096"/>
      <c r="Q217" s="1096"/>
      <c r="R217" s="1096"/>
      <c r="S217" s="1096"/>
      <c r="T217" s="1096"/>
      <c r="U217" s="1096"/>
      <c r="V217" s="1096"/>
      <c r="W217" s="1096"/>
      <c r="X217" s="1096"/>
      <c r="Y217" s="1096"/>
      <c r="Z217" s="1096"/>
      <c r="AA217" s="1096"/>
      <c r="AB217" s="1096"/>
      <c r="AC217" s="1096"/>
      <c r="AD217" s="1096"/>
      <c r="AE217" s="1096"/>
      <c r="AF217" s="1096"/>
      <c r="AG217" s="1096"/>
      <c r="AH217" s="1096"/>
      <c r="AI217" s="1096"/>
      <c r="AJ217" s="1096"/>
    </row>
    <row r="218" spans="1:36" x14ac:dyDescent="0.25">
      <c r="A218" s="1096"/>
      <c r="B218" s="1101">
        <f t="shared" ca="1" si="94"/>
        <v>1.350545459760943</v>
      </c>
      <c r="C218" s="1454">
        <f t="shared" ca="1" si="89"/>
        <v>1.3564619926964672</v>
      </c>
      <c r="D218" s="1096">
        <f t="shared" ca="1" si="88"/>
        <v>76</v>
      </c>
      <c r="E218" s="1457">
        <f t="shared" ca="1" si="90"/>
        <v>1.350545459760943</v>
      </c>
      <c r="F218" s="1457">
        <f t="shared" ca="1" si="91"/>
        <v>1.3564619926964672</v>
      </c>
      <c r="G218" s="1456">
        <f t="shared" ca="1" si="92"/>
        <v>1.3535037262287051</v>
      </c>
      <c r="H218" s="1096">
        <f t="shared" ca="1" si="93"/>
        <v>3.7999999999999999E-2</v>
      </c>
      <c r="I218" s="1096">
        <f t="shared" ca="1" si="95"/>
        <v>0.96500000000000008</v>
      </c>
      <c r="J218" s="1096"/>
      <c r="K218" s="1096"/>
      <c r="L218" s="1096"/>
      <c r="M218" s="1096"/>
      <c r="N218" s="1096"/>
      <c r="O218" s="1096"/>
      <c r="P218" s="1096"/>
      <c r="Q218" s="1096"/>
      <c r="R218" s="1096"/>
      <c r="S218" s="1096"/>
      <c r="T218" s="1096"/>
      <c r="U218" s="1096"/>
      <c r="V218" s="1096"/>
      <c r="W218" s="1096"/>
      <c r="X218" s="1096"/>
      <c r="Y218" s="1096"/>
      <c r="Z218" s="1096"/>
      <c r="AA218" s="1096"/>
      <c r="AB218" s="1096"/>
      <c r="AC218" s="1096"/>
      <c r="AD218" s="1096"/>
      <c r="AE218" s="1096"/>
      <c r="AF218" s="1096"/>
      <c r="AG218" s="1096"/>
      <c r="AH218" s="1096"/>
      <c r="AI218" s="1096"/>
      <c r="AJ218" s="1096"/>
    </row>
    <row r="219" spans="1:36" x14ac:dyDescent="0.25">
      <c r="A219" s="1096"/>
      <c r="B219" s="1101">
        <f t="shared" ca="1" si="94"/>
        <v>1.3564619926964672</v>
      </c>
      <c r="C219" s="1454">
        <f t="shared" ca="1" si="89"/>
        <v>1.3623785256319914</v>
      </c>
      <c r="D219" s="1096">
        <f t="shared" ca="1" si="88"/>
        <v>45</v>
      </c>
      <c r="E219" s="1457">
        <f t="shared" ca="1" si="90"/>
        <v>1.3564619926964672</v>
      </c>
      <c r="F219" s="1457">
        <f t="shared" ca="1" si="91"/>
        <v>1.3623785256319914</v>
      </c>
      <c r="G219" s="1456">
        <f t="shared" ca="1" si="92"/>
        <v>1.3594202591642293</v>
      </c>
      <c r="H219" s="1096">
        <f t="shared" ca="1" si="93"/>
        <v>2.2499999999999999E-2</v>
      </c>
      <c r="I219" s="1096">
        <f t="shared" ca="1" si="95"/>
        <v>0.98750000000000004</v>
      </c>
      <c r="J219" s="1096"/>
      <c r="K219" s="1096"/>
      <c r="L219" s="1096"/>
      <c r="M219" s="1096"/>
      <c r="N219" s="1096"/>
      <c r="O219" s="1096"/>
      <c r="P219" s="1096"/>
      <c r="Q219" s="1096"/>
      <c r="R219" s="1096"/>
      <c r="S219" s="1096"/>
      <c r="T219" s="1096"/>
      <c r="U219" s="1096"/>
      <c r="V219" s="1096"/>
      <c r="W219" s="1096"/>
      <c r="X219" s="1096"/>
      <c r="Y219" s="1096"/>
      <c r="Z219" s="1096"/>
      <c r="AA219" s="1096"/>
      <c r="AB219" s="1096"/>
      <c r="AC219" s="1096"/>
      <c r="AD219" s="1096"/>
      <c r="AE219" s="1096"/>
      <c r="AF219" s="1096"/>
      <c r="AG219" s="1096"/>
      <c r="AH219" s="1096"/>
      <c r="AI219" s="1096"/>
      <c r="AJ219" s="1096"/>
    </row>
    <row r="220" spans="1:36" x14ac:dyDescent="0.25">
      <c r="A220" s="1096"/>
      <c r="B220" s="1101">
        <f t="shared" ca="1" si="94"/>
        <v>1.3623785256319914</v>
      </c>
      <c r="C220" s="1454">
        <f t="shared" ca="1" si="89"/>
        <v>1.3682950585675155</v>
      </c>
      <c r="D220" s="1096">
        <f t="shared" ca="1" si="88"/>
        <v>18</v>
      </c>
      <c r="E220" s="1457">
        <f t="shared" ca="1" si="90"/>
        <v>1.3623785256319914</v>
      </c>
      <c r="F220" s="1457">
        <f t="shared" ca="1" si="91"/>
        <v>1.3682950585675155</v>
      </c>
      <c r="G220" s="1456">
        <f t="shared" ca="1" si="92"/>
        <v>1.3653367920997534</v>
      </c>
      <c r="H220" s="1096">
        <f t="shared" ca="1" si="93"/>
        <v>8.9999999999999993E-3</v>
      </c>
      <c r="I220" s="1096">
        <f t="shared" ca="1" si="95"/>
        <v>0.99650000000000005</v>
      </c>
      <c r="J220" s="1096"/>
      <c r="K220" s="1096"/>
      <c r="L220" s="1096"/>
      <c r="M220" s="1096"/>
      <c r="N220" s="1096"/>
      <c r="O220" s="1096"/>
      <c r="P220" s="1096"/>
      <c r="Q220" s="1096"/>
      <c r="R220" s="1096"/>
      <c r="S220" s="1096"/>
      <c r="T220" s="1096"/>
      <c r="U220" s="1096"/>
      <c r="V220" s="1096"/>
      <c r="W220" s="1096"/>
      <c r="X220" s="1096"/>
      <c r="Y220" s="1096"/>
      <c r="Z220" s="1096"/>
      <c r="AA220" s="1096"/>
      <c r="AB220" s="1096"/>
      <c r="AC220" s="1096"/>
      <c r="AD220" s="1096"/>
      <c r="AE220" s="1096"/>
      <c r="AF220" s="1096"/>
      <c r="AG220" s="1096"/>
      <c r="AH220" s="1096"/>
      <c r="AI220" s="1096"/>
      <c r="AJ220" s="1096"/>
    </row>
    <row r="221" spans="1:36" x14ac:dyDescent="0.25">
      <c r="A221" s="1096"/>
      <c r="B221" s="1101">
        <f t="shared" ca="1" si="94"/>
        <v>1.3682950585675155</v>
      </c>
      <c r="C221" s="1454">
        <f ca="1">+B221+($C$197/20)+0.000001</f>
        <v>1.3742125915030396</v>
      </c>
      <c r="D221" s="1096">
        <f t="shared" ca="1" si="88"/>
        <v>7</v>
      </c>
      <c r="E221" s="1457">
        <f t="shared" ca="1" si="90"/>
        <v>1.3682950585675155</v>
      </c>
      <c r="F221" s="1457">
        <f t="shared" ca="1" si="91"/>
        <v>1.3742125915030396</v>
      </c>
      <c r="G221" s="1456">
        <f t="shared" ca="1" si="92"/>
        <v>1.3712538250352777</v>
      </c>
      <c r="H221" s="1096">
        <f t="shared" ca="1" si="93"/>
        <v>3.5000000000000001E-3</v>
      </c>
      <c r="I221" s="1096">
        <f t="shared" ca="1" si="95"/>
        <v>1</v>
      </c>
      <c r="J221" s="1096"/>
      <c r="K221" s="1096"/>
      <c r="L221" s="1096"/>
      <c r="M221" s="1096"/>
      <c r="N221" s="1096"/>
      <c r="O221" s="1096"/>
      <c r="P221" s="1096"/>
      <c r="Q221" s="1096"/>
      <c r="R221" s="1096"/>
      <c r="S221" s="1096"/>
      <c r="T221" s="1096"/>
      <c r="U221" s="1096"/>
      <c r="V221" s="1096"/>
      <c r="W221" s="1096"/>
      <c r="X221" s="1096"/>
      <c r="Y221" s="1096"/>
      <c r="Z221" s="1096"/>
      <c r="AA221" s="1096"/>
      <c r="AB221" s="1096"/>
      <c r="AC221" s="1096"/>
      <c r="AD221" s="1096"/>
      <c r="AE221" s="1096"/>
      <c r="AF221" s="1096"/>
      <c r="AG221" s="1096"/>
      <c r="AH221" s="1096"/>
      <c r="AI221" s="1096"/>
      <c r="AJ221" s="1096"/>
    </row>
    <row r="222" spans="1:36" x14ac:dyDescent="0.25">
      <c r="A222" s="1096"/>
      <c r="B222" s="1097"/>
      <c r="C222" s="1458"/>
      <c r="D222" s="1096"/>
      <c r="E222" s="1096"/>
      <c r="F222" s="1096">
        <f t="shared" ca="1" si="91"/>
        <v>0</v>
      </c>
      <c r="G222" s="1456">
        <f t="shared" ca="1" si="92"/>
        <v>0</v>
      </c>
      <c r="H222" s="1096"/>
      <c r="I222" s="1096"/>
      <c r="J222" s="1096"/>
      <c r="K222" s="1096"/>
      <c r="L222" s="1096"/>
      <c r="M222" s="1096"/>
      <c r="N222" s="1096"/>
      <c r="O222" s="1096"/>
      <c r="P222" s="1096"/>
      <c r="Q222" s="1096"/>
      <c r="R222" s="1096"/>
      <c r="S222" s="1096"/>
      <c r="T222" s="1096"/>
      <c r="U222" s="1096"/>
      <c r="V222" s="1096"/>
      <c r="W222" s="1096"/>
      <c r="X222" s="1096"/>
      <c r="Y222" s="1096"/>
      <c r="Z222" s="1096"/>
      <c r="AA222" s="1096"/>
      <c r="AB222" s="1096"/>
      <c r="AC222" s="1096"/>
      <c r="AD222" s="1096"/>
      <c r="AE222" s="1096"/>
      <c r="AF222" s="1096"/>
      <c r="AG222" s="1096"/>
      <c r="AH222" s="1096"/>
      <c r="AI222" s="1096"/>
      <c r="AJ222" s="1096"/>
    </row>
    <row r="223" spans="1:36" x14ac:dyDescent="0.25">
      <c r="A223" s="1096"/>
      <c r="B223" s="1097" t="s">
        <v>1310</v>
      </c>
      <c r="C223" s="1096"/>
      <c r="D223" s="1096">
        <f ca="1">+SUM(D202:D221)</f>
        <v>2000</v>
      </c>
      <c r="E223" s="1096"/>
      <c r="F223" s="1096"/>
      <c r="G223" s="1096"/>
      <c r="H223" s="1096"/>
      <c r="I223" s="1096"/>
      <c r="J223" s="1096"/>
      <c r="K223" s="1096"/>
      <c r="L223" s="1096"/>
      <c r="M223" s="1096"/>
      <c r="N223" s="1096"/>
      <c r="O223" s="1096"/>
      <c r="P223" s="1096"/>
      <c r="Q223" s="1096"/>
      <c r="R223" s="1096"/>
      <c r="S223" s="1096"/>
      <c r="T223" s="1096"/>
      <c r="U223" s="1096"/>
      <c r="V223" s="1096"/>
      <c r="W223" s="1096"/>
      <c r="X223" s="1096"/>
      <c r="Y223" s="1096"/>
      <c r="Z223" s="1096"/>
      <c r="AA223" s="1096"/>
      <c r="AB223" s="1096"/>
      <c r="AC223" s="1096"/>
      <c r="AD223" s="1096"/>
      <c r="AE223" s="1096"/>
      <c r="AF223" s="1096"/>
      <c r="AG223" s="1096"/>
      <c r="AH223" s="1096"/>
      <c r="AI223" s="1096"/>
      <c r="AJ223" s="1096"/>
    </row>
    <row r="224" spans="1:36" x14ac:dyDescent="0.25">
      <c r="A224" s="1096"/>
      <c r="B224" s="1096" t="str">
        <f t="array" ref="B224:B238">+TRANSPOSE(Sensitivity_output)</f>
        <v>Cost of hydrogen ($/kg)</v>
      </c>
      <c r="C224" s="1096"/>
      <c r="D224" s="1096"/>
      <c r="E224" s="1096"/>
      <c r="F224" s="1096"/>
      <c r="G224" s="1096"/>
      <c r="H224" s="1096"/>
      <c r="I224" s="1096"/>
      <c r="J224" s="1096"/>
      <c r="K224" s="1096"/>
      <c r="L224" s="1096"/>
      <c r="M224" s="1096"/>
      <c r="N224" s="1096"/>
      <c r="O224" s="1096"/>
      <c r="P224" s="1096"/>
      <c r="Q224" s="1096"/>
      <c r="R224" s="1096"/>
      <c r="S224" s="1096"/>
      <c r="T224" s="1096"/>
      <c r="U224" s="1096"/>
      <c r="V224" s="1096"/>
      <c r="W224" s="1096"/>
      <c r="X224" s="1096"/>
      <c r="Y224" s="1096"/>
      <c r="Z224" s="1096"/>
      <c r="AA224" s="1096"/>
      <c r="AB224" s="1096"/>
      <c r="AC224" s="1096"/>
      <c r="AD224" s="1096"/>
      <c r="AE224" s="1096"/>
      <c r="AF224" s="1096"/>
      <c r="AG224" s="1096"/>
      <c r="AH224" s="1096"/>
      <c r="AI224" s="1096"/>
      <c r="AJ224" s="1096"/>
    </row>
    <row r="225" spans="1:36" x14ac:dyDescent="0.25">
      <c r="A225" s="1096"/>
      <c r="B225" s="1096" t="str">
        <v>Revenue from byproduct sales ($/kg)</v>
      </c>
      <c r="C225" s="1096"/>
      <c r="D225" s="1096"/>
      <c r="E225" s="1096"/>
      <c r="F225" s="1096"/>
      <c r="G225" s="1096"/>
      <c r="H225" s="1096"/>
      <c r="I225" s="1096"/>
      <c r="J225" s="1096"/>
      <c r="K225" s="1096"/>
      <c r="L225" s="1096"/>
      <c r="M225" s="1096"/>
      <c r="N225" s="1096"/>
      <c r="O225" s="1096"/>
      <c r="P225" s="1096"/>
      <c r="Q225" s="1096"/>
      <c r="R225" s="1096"/>
      <c r="S225" s="1096"/>
      <c r="T225" s="1096"/>
      <c r="U225" s="1096"/>
      <c r="V225" s="1096"/>
      <c r="W225" s="1096"/>
      <c r="X225" s="1096"/>
      <c r="Y225" s="1096"/>
      <c r="Z225" s="1096"/>
      <c r="AA225" s="1096"/>
      <c r="AB225" s="1096"/>
      <c r="AC225" s="1096"/>
      <c r="AD225" s="1096"/>
      <c r="AE225" s="1096"/>
      <c r="AF225" s="1096"/>
      <c r="AG225" s="1096"/>
      <c r="AH225" s="1096"/>
      <c r="AI225" s="1096"/>
      <c r="AJ225" s="1096"/>
    </row>
    <row r="226" spans="1:36" x14ac:dyDescent="0.25">
      <c r="A226" s="1096"/>
      <c r="B226" s="1096" t="str">
        <v>Salvage value ($/kg)</v>
      </c>
      <c r="C226" s="1096"/>
      <c r="D226" s="1096"/>
      <c r="E226" s="1096"/>
      <c r="F226" s="1096"/>
      <c r="G226" s="1096"/>
      <c r="H226" s="1096"/>
      <c r="I226" s="1096"/>
      <c r="J226" s="1096"/>
      <c r="K226" s="1096"/>
      <c r="L226" s="1096"/>
      <c r="M226" s="1096"/>
      <c r="N226" s="1096"/>
      <c r="O226" s="1096"/>
      <c r="P226" s="1096"/>
      <c r="Q226" s="1096"/>
      <c r="R226" s="1096"/>
      <c r="S226" s="1096"/>
      <c r="T226" s="1096"/>
      <c r="U226" s="1096"/>
      <c r="V226" s="1096"/>
      <c r="W226" s="1096"/>
      <c r="X226" s="1096"/>
      <c r="Y226" s="1096"/>
      <c r="Z226" s="1096"/>
      <c r="AA226" s="1096"/>
      <c r="AB226" s="1096"/>
      <c r="AC226" s="1096"/>
      <c r="AD226" s="1096"/>
      <c r="AE226" s="1096"/>
      <c r="AF226" s="1096"/>
      <c r="AG226" s="1096"/>
      <c r="AH226" s="1096"/>
      <c r="AI226" s="1096"/>
      <c r="AJ226" s="1096"/>
    </row>
    <row r="227" spans="1:36" x14ac:dyDescent="0.25">
      <c r="A227" s="1096"/>
      <c r="B227" s="1096" t="str">
        <v>Initial equity depreciable capital ($/kg)</v>
      </c>
      <c r="C227" s="1096"/>
      <c r="D227" s="1096"/>
      <c r="E227" s="1096"/>
      <c r="F227" s="1096"/>
      <c r="G227" s="1096"/>
      <c r="H227" s="1096"/>
      <c r="I227" s="1096"/>
      <c r="J227" s="1096"/>
      <c r="K227" s="1096"/>
      <c r="L227" s="1096"/>
      <c r="M227" s="1096"/>
      <c r="N227" s="1096"/>
      <c r="O227" s="1096"/>
      <c r="P227" s="1096"/>
      <c r="Q227" s="1096"/>
      <c r="R227" s="1096"/>
      <c r="S227" s="1096"/>
      <c r="T227" s="1096"/>
      <c r="U227" s="1096"/>
      <c r="V227" s="1096"/>
      <c r="W227" s="1096"/>
      <c r="X227" s="1096"/>
      <c r="Y227" s="1096"/>
      <c r="Z227" s="1096"/>
      <c r="AA227" s="1096"/>
      <c r="AB227" s="1096"/>
      <c r="AC227" s="1096"/>
      <c r="AD227" s="1096"/>
      <c r="AE227" s="1096"/>
      <c r="AF227" s="1096"/>
      <c r="AG227" s="1096"/>
      <c r="AH227" s="1096"/>
      <c r="AI227" s="1096"/>
      <c r="AJ227" s="1096"/>
    </row>
    <row r="228" spans="1:36" x14ac:dyDescent="0.25">
      <c r="A228" s="1096"/>
      <c r="B228" s="1096" t="str">
        <v>Yearly replacement costs ($/kg)</v>
      </c>
      <c r="C228" s="1096"/>
      <c r="D228" s="1096"/>
      <c r="E228" s="1096"/>
      <c r="F228" s="1096"/>
      <c r="G228" s="1096"/>
      <c r="H228" s="1096"/>
      <c r="I228" s="1096"/>
      <c r="J228" s="1096"/>
      <c r="K228" s="1096"/>
      <c r="L228" s="1096"/>
      <c r="M228" s="1096"/>
      <c r="N228" s="1096"/>
      <c r="O228" s="1096"/>
      <c r="P228" s="1096"/>
      <c r="Q228" s="1096"/>
      <c r="R228" s="1096"/>
      <c r="S228" s="1096"/>
      <c r="T228" s="1096"/>
      <c r="U228" s="1096"/>
      <c r="V228" s="1096"/>
      <c r="W228" s="1096"/>
      <c r="X228" s="1096"/>
      <c r="Y228" s="1096"/>
      <c r="Z228" s="1096"/>
      <c r="AA228" s="1096"/>
      <c r="AB228" s="1096"/>
      <c r="AC228" s="1096"/>
      <c r="AD228" s="1096"/>
      <c r="AE228" s="1096"/>
      <c r="AF228" s="1096"/>
      <c r="AG228" s="1096"/>
      <c r="AH228" s="1096"/>
      <c r="AI228" s="1096"/>
      <c r="AJ228" s="1096"/>
    </row>
    <row r="229" spans="1:36" x14ac:dyDescent="0.25">
      <c r="A229" s="1096"/>
      <c r="B229" s="1096" t="str">
        <v>Cash from working capital reserve ($/kg)</v>
      </c>
      <c r="C229" s="1096"/>
      <c r="D229" s="1096"/>
      <c r="E229" s="1096"/>
      <c r="F229" s="1096"/>
      <c r="G229" s="1096"/>
      <c r="H229" s="1096"/>
      <c r="I229" s="1096"/>
      <c r="J229" s="1096"/>
      <c r="K229" s="1096"/>
      <c r="L229" s="1096"/>
      <c r="M229" s="1096"/>
      <c r="N229" s="1096"/>
      <c r="O229" s="1096"/>
      <c r="P229" s="1096"/>
      <c r="Q229" s="1096"/>
      <c r="R229" s="1096"/>
      <c r="S229" s="1096"/>
      <c r="T229" s="1096"/>
      <c r="U229" s="1096"/>
      <c r="V229" s="1096"/>
      <c r="W229" s="1096"/>
      <c r="X229" s="1096"/>
      <c r="Y229" s="1096"/>
      <c r="Z229" s="1096"/>
      <c r="AA229" s="1096"/>
      <c r="AB229" s="1096"/>
      <c r="AC229" s="1096"/>
      <c r="AD229" s="1096"/>
      <c r="AE229" s="1096"/>
      <c r="AF229" s="1096"/>
      <c r="AG229" s="1096"/>
      <c r="AH229" s="1096"/>
      <c r="AI229" s="1096"/>
      <c r="AJ229" s="1096"/>
    </row>
    <row r="230" spans="1:36" x14ac:dyDescent="0.25">
      <c r="A230" s="1096"/>
      <c r="B230" s="1096" t="str">
        <v>Other non-depreciable capital costs ($/kg)</v>
      </c>
      <c r="C230" s="1096"/>
      <c r="D230" s="1096"/>
      <c r="E230" s="1096"/>
      <c r="F230" s="1096"/>
      <c r="G230" s="1096"/>
      <c r="H230" s="1096"/>
      <c r="I230" s="1096"/>
      <c r="J230" s="1096"/>
      <c r="K230" s="1096"/>
      <c r="L230" s="1096"/>
      <c r="M230" s="1096"/>
      <c r="N230" s="1096"/>
      <c r="O230" s="1096"/>
      <c r="P230" s="1096"/>
      <c r="Q230" s="1096"/>
      <c r="R230" s="1096"/>
      <c r="S230" s="1096"/>
      <c r="T230" s="1096"/>
      <c r="U230" s="1096"/>
      <c r="V230" s="1096"/>
      <c r="W230" s="1096"/>
      <c r="X230" s="1096"/>
      <c r="Y230" s="1096"/>
      <c r="Z230" s="1096"/>
      <c r="AA230" s="1096"/>
      <c r="AB230" s="1096"/>
      <c r="AC230" s="1096"/>
      <c r="AD230" s="1096"/>
      <c r="AE230" s="1096"/>
      <c r="AF230" s="1096"/>
      <c r="AG230" s="1096"/>
      <c r="AH230" s="1096"/>
      <c r="AI230" s="1096"/>
      <c r="AJ230" s="1096"/>
    </row>
    <row r="231" spans="1:36" x14ac:dyDescent="0.25">
      <c r="A231" s="1096"/>
      <c r="B231" s="1096" t="str">
        <v>Decommissioning costs ($/kg)</v>
      </c>
      <c r="C231" s="1096"/>
      <c r="D231" s="1096"/>
      <c r="E231" s="1096"/>
      <c r="F231" s="1096"/>
      <c r="G231" s="1096"/>
      <c r="H231" s="1096"/>
      <c r="I231" s="1096"/>
      <c r="J231" s="1096"/>
      <c r="K231" s="1096"/>
      <c r="L231" s="1096"/>
      <c r="M231" s="1096"/>
      <c r="N231" s="1096"/>
      <c r="O231" s="1096"/>
      <c r="P231" s="1096"/>
      <c r="Q231" s="1096"/>
      <c r="R231" s="1096"/>
      <c r="S231" s="1096"/>
      <c r="T231" s="1096"/>
      <c r="U231" s="1096"/>
      <c r="V231" s="1096"/>
      <c r="W231" s="1096"/>
      <c r="X231" s="1096"/>
      <c r="Y231" s="1096"/>
      <c r="Z231" s="1096"/>
      <c r="AA231" s="1096"/>
      <c r="AB231" s="1096"/>
      <c r="AC231" s="1096"/>
      <c r="AD231" s="1096"/>
      <c r="AE231" s="1096"/>
      <c r="AF231" s="1096"/>
      <c r="AG231" s="1096"/>
      <c r="AH231" s="1096"/>
      <c r="AI231" s="1096"/>
      <c r="AJ231" s="1096"/>
    </row>
    <row r="232" spans="1:36" x14ac:dyDescent="0.25">
      <c r="A232" s="1096"/>
      <c r="B232" s="1096" t="str">
        <v>Fixed operating cost ($/kg)</v>
      </c>
      <c r="C232" s="1096"/>
      <c r="D232" s="1096"/>
      <c r="E232" s="1096"/>
      <c r="F232" s="1096"/>
      <c r="G232" s="1096"/>
      <c r="H232" s="1096"/>
      <c r="I232" s="1096"/>
      <c r="J232" s="1096"/>
      <c r="K232" s="1096"/>
      <c r="L232" s="1096"/>
      <c r="M232" s="1096"/>
      <c r="N232" s="1096"/>
      <c r="O232" s="1096"/>
      <c r="P232" s="1096"/>
      <c r="Q232" s="1096"/>
      <c r="R232" s="1096"/>
      <c r="S232" s="1096"/>
      <c r="T232" s="1096"/>
      <c r="U232" s="1096"/>
      <c r="V232" s="1096"/>
      <c r="W232" s="1096"/>
      <c r="X232" s="1096"/>
      <c r="Y232" s="1096"/>
      <c r="Z232" s="1096"/>
      <c r="AA232" s="1096"/>
      <c r="AB232" s="1096"/>
      <c r="AC232" s="1096"/>
      <c r="AD232" s="1096"/>
      <c r="AE232" s="1096"/>
      <c r="AF232" s="1096"/>
      <c r="AG232" s="1096"/>
      <c r="AH232" s="1096"/>
      <c r="AI232" s="1096"/>
      <c r="AJ232" s="1096"/>
    </row>
    <row r="233" spans="1:36" x14ac:dyDescent="0.25">
      <c r="A233" s="1096"/>
      <c r="B233" s="1096" t="str">
        <v>Feedstock cost ($/kg)</v>
      </c>
      <c r="C233" s="1096"/>
      <c r="D233" s="1096"/>
      <c r="E233" s="1096"/>
      <c r="F233" s="1096"/>
      <c r="G233" s="1096"/>
      <c r="H233" s="1096"/>
      <c r="I233" s="1096"/>
      <c r="J233" s="1096"/>
      <c r="K233" s="1096"/>
      <c r="L233" s="1096"/>
      <c r="M233" s="1096"/>
      <c r="N233" s="1096"/>
      <c r="O233" s="1096"/>
      <c r="P233" s="1096"/>
      <c r="Q233" s="1096"/>
      <c r="R233" s="1096"/>
      <c r="S233" s="1096"/>
      <c r="T233" s="1096"/>
      <c r="U233" s="1096"/>
      <c r="V233" s="1096"/>
      <c r="W233" s="1096"/>
      <c r="X233" s="1096"/>
      <c r="Y233" s="1096"/>
      <c r="Z233" s="1096"/>
      <c r="AA233" s="1096"/>
      <c r="AB233" s="1096"/>
      <c r="AC233" s="1096"/>
      <c r="AD233" s="1096"/>
      <c r="AE233" s="1096"/>
      <c r="AF233" s="1096"/>
      <c r="AG233" s="1096"/>
      <c r="AH233" s="1096"/>
      <c r="AI233" s="1096"/>
      <c r="AJ233" s="1096"/>
    </row>
    <row r="234" spans="1:36" x14ac:dyDescent="0.25">
      <c r="A234" s="1096"/>
      <c r="B234" s="1096" t="str">
        <v>Other raw material cost ($/kg)</v>
      </c>
      <c r="C234" s="1096"/>
      <c r="D234" s="1096"/>
      <c r="E234" s="1096"/>
      <c r="F234" s="1096"/>
      <c r="G234" s="1096"/>
      <c r="H234" s="1096"/>
      <c r="I234" s="1096"/>
      <c r="J234" s="1096"/>
      <c r="K234" s="1096"/>
      <c r="L234" s="1096"/>
      <c r="M234" s="1096"/>
      <c r="N234" s="1096"/>
      <c r="O234" s="1096"/>
      <c r="P234" s="1096"/>
      <c r="Q234" s="1096"/>
      <c r="R234" s="1096"/>
      <c r="S234" s="1096"/>
      <c r="T234" s="1096"/>
      <c r="U234" s="1096"/>
      <c r="V234" s="1096"/>
      <c r="W234" s="1096"/>
      <c r="X234" s="1096"/>
      <c r="Y234" s="1096"/>
      <c r="Z234" s="1096"/>
      <c r="AA234" s="1096"/>
      <c r="AB234" s="1096"/>
      <c r="AC234" s="1096"/>
      <c r="AD234" s="1096"/>
      <c r="AE234" s="1096"/>
      <c r="AF234" s="1096"/>
      <c r="AG234" s="1096"/>
      <c r="AH234" s="1096"/>
      <c r="AI234" s="1096"/>
      <c r="AJ234" s="1096"/>
    </row>
    <row r="235" spans="1:36" x14ac:dyDescent="0.25">
      <c r="A235" s="1096"/>
      <c r="B235" s="1096" t="str">
        <v>Other variable operating costs ($/kg)</v>
      </c>
      <c r="C235" s="1096"/>
      <c r="D235" s="1096"/>
      <c r="E235" s="1096"/>
      <c r="F235" s="1096"/>
      <c r="G235" s="1096"/>
      <c r="H235" s="1096"/>
      <c r="I235" s="1096"/>
      <c r="J235" s="1096"/>
      <c r="K235" s="1096"/>
      <c r="L235" s="1096"/>
      <c r="M235" s="1096"/>
      <c r="N235" s="1096"/>
      <c r="O235" s="1096"/>
      <c r="P235" s="1096"/>
      <c r="Q235" s="1096"/>
      <c r="R235" s="1096"/>
      <c r="S235" s="1096"/>
      <c r="T235" s="1096"/>
      <c r="U235" s="1096"/>
      <c r="V235" s="1096"/>
      <c r="W235" s="1096"/>
      <c r="X235" s="1096"/>
      <c r="Y235" s="1096"/>
      <c r="Z235" s="1096"/>
      <c r="AA235" s="1096"/>
      <c r="AB235" s="1096"/>
      <c r="AC235" s="1096"/>
      <c r="AD235" s="1096"/>
      <c r="AE235" s="1096"/>
      <c r="AF235" s="1096"/>
      <c r="AG235" s="1096"/>
      <c r="AH235" s="1096"/>
      <c r="AI235" s="1096"/>
      <c r="AJ235" s="1096"/>
    </row>
    <row r="236" spans="1:36" x14ac:dyDescent="0.25">
      <c r="A236" s="1096"/>
      <c r="B236" s="1096" t="str">
        <v>Debt interest ($/kg)</v>
      </c>
      <c r="C236" s="1096"/>
      <c r="D236" s="1096"/>
      <c r="E236" s="1096"/>
      <c r="F236" s="1096"/>
      <c r="G236" s="1096"/>
      <c r="H236" s="1096"/>
      <c r="I236" s="1096"/>
      <c r="J236" s="1096"/>
      <c r="K236" s="1096"/>
      <c r="L236" s="1096"/>
      <c r="M236" s="1096"/>
      <c r="N236" s="1096"/>
      <c r="O236" s="1096"/>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row>
    <row r="237" spans="1:36" x14ac:dyDescent="0.25">
      <c r="A237" s="1096"/>
      <c r="B237" s="1096" t="str">
        <v>Taxes ($/kg)</v>
      </c>
      <c r="C237" s="1096"/>
      <c r="D237" s="1096"/>
      <c r="E237" s="1096"/>
      <c r="F237" s="1096"/>
      <c r="G237" s="1096"/>
      <c r="H237" s="1096"/>
      <c r="I237" s="1096"/>
      <c r="J237" s="1096"/>
      <c r="K237" s="1096"/>
      <c r="L237" s="1096"/>
      <c r="M237" s="1096"/>
      <c r="N237" s="1096"/>
      <c r="O237" s="1096"/>
      <c r="P237" s="1096"/>
      <c r="Q237" s="1096"/>
      <c r="R237" s="1096"/>
      <c r="S237" s="1096"/>
      <c r="T237" s="1096"/>
      <c r="U237" s="1096"/>
      <c r="V237" s="1096"/>
      <c r="W237" s="1096"/>
      <c r="X237" s="1096"/>
      <c r="Y237" s="1096"/>
      <c r="Z237" s="1096"/>
      <c r="AA237" s="1096"/>
      <c r="AB237" s="1096"/>
      <c r="AC237" s="1096"/>
      <c r="AD237" s="1096"/>
      <c r="AE237" s="1096"/>
      <c r="AF237" s="1096"/>
      <c r="AG237" s="1096"/>
      <c r="AH237" s="1096"/>
      <c r="AI237" s="1096"/>
      <c r="AJ237" s="1096"/>
    </row>
    <row r="238" spans="1:36" x14ac:dyDescent="0.25">
      <c r="A238" s="1096"/>
      <c r="B238" s="1096" t="str">
        <v>Principal payment ($/kg)</v>
      </c>
      <c r="C238" s="1096"/>
      <c r="D238" s="1096"/>
      <c r="E238" s="1096"/>
      <c r="F238" s="1096"/>
      <c r="G238" s="1096"/>
      <c r="H238" s="1096"/>
      <c r="I238" s="1096"/>
      <c r="J238" s="1096"/>
      <c r="K238" s="1096"/>
      <c r="L238" s="1096"/>
      <c r="M238" s="1096"/>
      <c r="N238" s="1096"/>
      <c r="O238" s="1096"/>
      <c r="P238" s="1096"/>
      <c r="Q238" s="1096"/>
      <c r="R238" s="1096"/>
      <c r="S238" s="1096"/>
      <c r="T238" s="1096"/>
      <c r="U238" s="1096"/>
      <c r="V238" s="1096"/>
      <c r="W238" s="1096"/>
      <c r="X238" s="1096"/>
      <c r="Y238" s="1096"/>
      <c r="Z238" s="1096"/>
      <c r="AA238" s="1096"/>
      <c r="AB238" s="1096"/>
      <c r="AC238" s="1096"/>
      <c r="AD238" s="1096"/>
      <c r="AE238" s="1096"/>
      <c r="AF238" s="1096"/>
      <c r="AG238" s="1096"/>
      <c r="AH238" s="1096"/>
      <c r="AI238" s="1096"/>
      <c r="AJ238" s="1096"/>
    </row>
    <row r="239" spans="1:36" x14ac:dyDescent="0.25">
      <c r="A239" s="1096"/>
      <c r="B239" s="1096" t="str">
        <f t="array" ref="B239:B245">+TRANSPOSE(C50:I50)</f>
        <v>Operating capacity factor</v>
      </c>
      <c r="C239" s="1096"/>
      <c r="D239" s="1096"/>
      <c r="E239" s="1096"/>
      <c r="F239" s="1096"/>
      <c r="G239" s="1096"/>
      <c r="H239" s="1096"/>
      <c r="I239" s="1096"/>
      <c r="J239" s="1096"/>
      <c r="K239" s="1096"/>
      <c r="L239" s="1096"/>
      <c r="M239" s="1096"/>
      <c r="N239" s="1096"/>
      <c r="O239" s="1096"/>
      <c r="P239" s="1096"/>
      <c r="Q239" s="1096"/>
      <c r="R239" s="1096"/>
      <c r="S239" s="1096"/>
      <c r="T239" s="1096"/>
      <c r="U239" s="1096"/>
      <c r="V239" s="1096"/>
      <c r="W239" s="1096"/>
      <c r="X239" s="1096"/>
      <c r="Y239" s="1096"/>
      <c r="Z239" s="1096"/>
      <c r="AA239" s="1096"/>
      <c r="AB239" s="1096"/>
      <c r="AC239" s="1096"/>
      <c r="AD239" s="1096"/>
      <c r="AE239" s="1096"/>
      <c r="AF239" s="1096"/>
      <c r="AG239" s="1096"/>
      <c r="AH239" s="1096"/>
      <c r="AI239" s="1096"/>
      <c r="AJ239" s="1096"/>
    </row>
    <row r="240" spans="1:36" x14ac:dyDescent="0.25">
      <c r="A240" s="1096"/>
      <c r="B240" s="1096" t="str">
        <v>Plant design capacity (kg of H2/day)</v>
      </c>
      <c r="C240" s="1096"/>
      <c r="D240" s="1096"/>
      <c r="E240" s="1096"/>
      <c r="F240" s="1096"/>
      <c r="G240" s="1096"/>
      <c r="H240" s="1096"/>
      <c r="I240" s="1096"/>
      <c r="J240" s="1096"/>
      <c r="K240" s="1096"/>
      <c r="L240" s="1096"/>
      <c r="M240" s="1096"/>
      <c r="N240" s="1096"/>
      <c r="O240" s="1096"/>
      <c r="P240" s="1096"/>
      <c r="Q240" s="1096"/>
      <c r="R240" s="1096"/>
      <c r="S240" s="1096"/>
      <c r="T240" s="1096"/>
      <c r="U240" s="1096"/>
      <c r="V240" s="1096"/>
      <c r="W240" s="1096"/>
      <c r="X240" s="1096"/>
      <c r="Y240" s="1096"/>
      <c r="Z240" s="1096"/>
      <c r="AA240" s="1096"/>
      <c r="AB240" s="1096"/>
      <c r="AC240" s="1096"/>
      <c r="AD240" s="1096"/>
      <c r="AE240" s="1096"/>
      <c r="AF240" s="1096"/>
      <c r="AG240" s="1096"/>
      <c r="AH240" s="1096"/>
      <c r="AI240" s="1096"/>
      <c r="AJ240" s="1096"/>
    </row>
    <row r="241" spans="1:36" x14ac:dyDescent="0.25">
      <c r="A241" s="1096"/>
      <c r="B241" s="1096" t="str">
        <v>After-tax real IRR (%)</v>
      </c>
      <c r="C241" s="1096"/>
      <c r="D241" s="1096"/>
      <c r="E241" s="1096"/>
      <c r="F241" s="1096"/>
      <c r="G241" s="1096"/>
      <c r="H241" s="1096"/>
      <c r="I241" s="1096"/>
      <c r="J241" s="1096"/>
      <c r="K241" s="1096"/>
      <c r="L241" s="1096"/>
      <c r="M241" s="1096"/>
      <c r="N241" s="1096"/>
      <c r="O241" s="1096"/>
      <c r="P241" s="1096"/>
      <c r="Q241" s="1096"/>
      <c r="R241" s="1096"/>
      <c r="S241" s="1096"/>
      <c r="T241" s="1096"/>
      <c r="U241" s="1096"/>
      <c r="V241" s="1096"/>
      <c r="W241" s="1096"/>
      <c r="X241" s="1096"/>
      <c r="Y241" s="1096"/>
      <c r="Z241" s="1096"/>
      <c r="AA241" s="1096"/>
      <c r="AB241" s="1096"/>
      <c r="AC241" s="1096"/>
      <c r="AD241" s="1096"/>
      <c r="AE241" s="1096"/>
      <c r="AF241" s="1096"/>
      <c r="AG241" s="1096"/>
      <c r="AH241" s="1096"/>
      <c r="AI241" s="1096"/>
      <c r="AJ241" s="1096"/>
    </row>
    <row r="242" spans="1:36" x14ac:dyDescent="0.25">
      <c r="A242" s="1096"/>
      <c r="B242" s="1096" t="str">
        <v>Feedstock consumption (% of most likely value)</v>
      </c>
      <c r="C242" s="1096"/>
      <c r="D242" s="1096"/>
      <c r="E242" s="1096"/>
      <c r="F242" s="1096"/>
      <c r="G242" s="1096"/>
      <c r="H242" s="1096"/>
      <c r="I242" s="1096"/>
      <c r="J242" s="1096"/>
      <c r="K242" s="1096"/>
      <c r="L242" s="1096"/>
      <c r="M242" s="1096"/>
      <c r="N242" s="1096"/>
      <c r="O242" s="1096"/>
      <c r="P242" s="1096"/>
      <c r="Q242" s="1096"/>
      <c r="R242" s="1096"/>
      <c r="S242" s="1096"/>
      <c r="T242" s="1096"/>
      <c r="U242" s="1096"/>
      <c r="V242" s="1096"/>
      <c r="W242" s="1096"/>
      <c r="X242" s="1096"/>
      <c r="Y242" s="1096"/>
      <c r="Z242" s="1096"/>
      <c r="AA242" s="1096"/>
      <c r="AB242" s="1096"/>
      <c r="AC242" s="1096"/>
      <c r="AD242" s="1096"/>
      <c r="AE242" s="1096"/>
      <c r="AF242" s="1096"/>
      <c r="AG242" s="1096"/>
      <c r="AH242" s="1096"/>
      <c r="AI242" s="1096"/>
      <c r="AJ242" s="1096"/>
    </row>
    <row r="243" spans="1:36" x14ac:dyDescent="0.25">
      <c r="A243" s="1096"/>
      <c r="B243" s="1096" t="str">
        <v>Utilities consumption (% of most likely value)</v>
      </c>
      <c r="C243" s="1096"/>
      <c r="D243" s="1096"/>
      <c r="E243" s="1096"/>
      <c r="F243" s="1096"/>
      <c r="G243" s="1096"/>
      <c r="H243" s="1096"/>
      <c r="I243" s="1096"/>
      <c r="J243" s="1096"/>
      <c r="K243" s="1096"/>
      <c r="L243" s="1096"/>
      <c r="M243" s="1096"/>
      <c r="N243" s="1096"/>
      <c r="O243" s="1096"/>
      <c r="P243" s="1096"/>
      <c r="Q243" s="1096"/>
      <c r="R243" s="1096"/>
      <c r="S243" s="1096"/>
      <c r="T243" s="1096"/>
      <c r="U243" s="1096"/>
      <c r="V243" s="1096"/>
      <c r="W243" s="1096"/>
      <c r="X243" s="1096"/>
      <c r="Y243" s="1096"/>
      <c r="Z243" s="1096"/>
      <c r="AA243" s="1096"/>
      <c r="AB243" s="1096"/>
      <c r="AC243" s="1096"/>
      <c r="AD243" s="1096"/>
      <c r="AE243" s="1096"/>
      <c r="AF243" s="1096"/>
      <c r="AG243" s="1096"/>
      <c r="AH243" s="1096"/>
      <c r="AI243" s="1096"/>
      <c r="AJ243" s="1096"/>
    </row>
    <row r="244" spans="1:36" x14ac:dyDescent="0.25">
      <c r="A244" s="1096"/>
      <c r="B244" s="1096" t="str">
        <v>Total capital investment ($)</v>
      </c>
      <c r="C244" s="1096"/>
      <c r="D244" s="1096"/>
      <c r="E244" s="1096"/>
      <c r="F244" s="1096"/>
      <c r="G244" s="1096"/>
      <c r="H244" s="1096"/>
      <c r="I244" s="1096"/>
      <c r="J244" s="1096"/>
      <c r="K244" s="1096"/>
      <c r="L244" s="1096"/>
      <c r="M244" s="1096"/>
      <c r="N244" s="1096"/>
      <c r="O244" s="1096"/>
      <c r="P244" s="1096"/>
      <c r="Q244" s="1096"/>
      <c r="R244" s="1096"/>
      <c r="S244" s="1096"/>
      <c r="T244" s="1096"/>
      <c r="U244" s="1096"/>
      <c r="V244" s="1096"/>
      <c r="W244" s="1096"/>
      <c r="X244" s="1096"/>
      <c r="Y244" s="1096"/>
      <c r="Z244" s="1096"/>
      <c r="AA244" s="1096"/>
      <c r="AB244" s="1096"/>
      <c r="AC244" s="1096"/>
      <c r="AD244" s="1096"/>
      <c r="AE244" s="1096"/>
      <c r="AF244" s="1096"/>
      <c r="AG244" s="1096"/>
      <c r="AH244" s="1096"/>
      <c r="AI244" s="1096"/>
      <c r="AJ244" s="1096"/>
    </row>
    <row r="245" spans="1:36" x14ac:dyDescent="0.25">
      <c r="A245" s="1096"/>
      <c r="B245" s="1096" t="str">
        <v>Total fixed operating cost ($/year)</v>
      </c>
      <c r="C245" s="1096"/>
      <c r="D245" s="1096"/>
      <c r="E245" s="1096"/>
      <c r="F245" s="1096"/>
      <c r="G245" s="1096"/>
      <c r="H245" s="1096"/>
      <c r="I245" s="1096"/>
      <c r="J245" s="1096"/>
      <c r="K245" s="1096"/>
      <c r="L245" s="1096"/>
      <c r="M245" s="1096"/>
      <c r="N245" s="1096"/>
      <c r="O245" s="1096"/>
      <c r="P245" s="1096"/>
      <c r="Q245" s="1096"/>
      <c r="R245" s="1096"/>
      <c r="S245" s="1096"/>
      <c r="T245" s="1096"/>
      <c r="U245" s="1096"/>
      <c r="V245" s="1096"/>
      <c r="W245" s="1096"/>
      <c r="X245" s="1096"/>
      <c r="Y245" s="1096"/>
      <c r="Z245" s="1096"/>
      <c r="AA245" s="1096"/>
      <c r="AB245" s="1096"/>
      <c r="AC245" s="1096"/>
      <c r="AD245" s="1096"/>
      <c r="AE245" s="1096"/>
      <c r="AF245" s="1096"/>
      <c r="AG245" s="1096"/>
      <c r="AH245" s="1096"/>
      <c r="AI245" s="1096"/>
      <c r="AJ245" s="1096"/>
    </row>
    <row r="246" spans="1:36" x14ac:dyDescent="0.25">
      <c r="A246" s="1096"/>
      <c r="B246" s="1096"/>
      <c r="C246" s="1096"/>
      <c r="D246" s="1096"/>
      <c r="E246" s="1096"/>
      <c r="F246" s="1096"/>
      <c r="G246" s="1096"/>
      <c r="H246" s="1096"/>
      <c r="I246" s="1096"/>
      <c r="J246" s="1096"/>
      <c r="K246" s="1096"/>
      <c r="L246" s="1096"/>
      <c r="M246" s="1096"/>
      <c r="N246" s="1096"/>
      <c r="O246" s="1096"/>
      <c r="P246" s="1096"/>
      <c r="Q246" s="1096"/>
      <c r="R246" s="1096"/>
      <c r="S246" s="1096"/>
      <c r="T246" s="1096"/>
      <c r="U246" s="1096"/>
      <c r="V246" s="1096"/>
      <c r="W246" s="1096"/>
      <c r="X246" s="1096"/>
      <c r="Y246" s="1096"/>
      <c r="Z246" s="1096"/>
      <c r="AA246" s="1096"/>
      <c r="AB246" s="1096"/>
      <c r="AC246" s="1096"/>
      <c r="AD246" s="1096"/>
      <c r="AE246" s="1096"/>
      <c r="AF246" s="1096"/>
      <c r="AG246" s="1096"/>
      <c r="AH246" s="1096"/>
      <c r="AI246" s="1096"/>
      <c r="AJ246" s="1096"/>
    </row>
    <row r="247" spans="1:36" x14ac:dyDescent="0.25">
      <c r="A247" s="1096"/>
      <c r="B247" s="1096"/>
      <c r="C247" s="1096"/>
      <c r="D247" s="1096"/>
      <c r="E247" s="1096"/>
      <c r="F247" s="1096"/>
      <c r="G247" s="1096"/>
      <c r="H247" s="1096"/>
      <c r="I247" s="1096"/>
      <c r="J247" s="1096"/>
      <c r="K247" s="1096"/>
      <c r="L247" s="1096"/>
      <c r="M247" s="1096"/>
      <c r="N247" s="1096"/>
      <c r="O247" s="1096"/>
      <c r="P247" s="1096"/>
      <c r="Q247" s="1096"/>
      <c r="R247" s="1096"/>
      <c r="S247" s="1096"/>
      <c r="T247" s="1096"/>
      <c r="U247" s="1096"/>
      <c r="V247" s="1096"/>
      <c r="W247" s="1096"/>
      <c r="X247" s="1096"/>
      <c r="Y247" s="1096"/>
      <c r="Z247" s="1096"/>
      <c r="AA247" s="1096"/>
      <c r="AB247" s="1096"/>
      <c r="AC247" s="1096"/>
      <c r="AD247" s="1096"/>
      <c r="AE247" s="1096"/>
      <c r="AF247" s="1096"/>
      <c r="AG247" s="1096"/>
      <c r="AH247" s="1096"/>
      <c r="AI247" s="1096"/>
      <c r="AJ247" s="1096"/>
    </row>
    <row r="248" spans="1:36" x14ac:dyDescent="0.25">
      <c r="A248" s="1096"/>
      <c r="B248" s="1097"/>
      <c r="C248">
        <f ca="1">+RAND()</f>
        <v>0.28871656946574598</v>
      </c>
      <c r="D248">
        <f t="shared" ref="D248:I248" ca="1" si="96">+RAND()</f>
        <v>0.30624016201070636</v>
      </c>
      <c r="E248">
        <f t="shared" ca="1" si="96"/>
        <v>0.73969546620586746</v>
      </c>
      <c r="F248">
        <f t="shared" ca="1" si="96"/>
        <v>0.82525025457770562</v>
      </c>
      <c r="G248">
        <f t="shared" ca="1" si="96"/>
        <v>0.69776545029735315</v>
      </c>
      <c r="H248">
        <f t="shared" ca="1" si="96"/>
        <v>0.93525706744112025</v>
      </c>
      <c r="I248">
        <f t="shared" ca="1" si="96"/>
        <v>0.51446381892074011</v>
      </c>
      <c r="J248" s="1096"/>
      <c r="K248" s="1096"/>
      <c r="L248" s="1096"/>
      <c r="M248" s="1096"/>
      <c r="N248" s="1096"/>
      <c r="O248" s="1096"/>
      <c r="P248" s="1096"/>
      <c r="Q248" s="1096"/>
      <c r="R248" s="1096"/>
      <c r="S248" s="1096"/>
      <c r="T248" s="1096"/>
      <c r="U248" s="1096"/>
      <c r="V248" s="1096"/>
      <c r="W248" s="1096"/>
      <c r="X248" s="1096"/>
      <c r="Y248" s="1096"/>
      <c r="Z248" s="1096"/>
      <c r="AA248" s="1096"/>
      <c r="AB248" s="1096"/>
      <c r="AC248" s="1096"/>
      <c r="AD248" s="1096"/>
      <c r="AE248" s="1096"/>
      <c r="AF248" s="1096"/>
      <c r="AG248" s="1096"/>
      <c r="AH248" s="1096"/>
      <c r="AI248" s="1096"/>
      <c r="AJ248" s="1096"/>
    </row>
    <row r="249" spans="1:36" x14ac:dyDescent="0.25">
      <c r="A249" s="1096"/>
      <c r="B249" s="305"/>
      <c r="C249" s="1101">
        <f ca="1">IFERROR(IF(C$248&lt;=(C$190-C$189)/(C$191-C$189),C$189+SQRT(C$248*(C$191-C$189)*(C$190-C$189)),C$191-SQRT((1-C$248)*(C$191-C$189)*(C$191-C$190))),1)</f>
        <v>0.9879945107525907</v>
      </c>
      <c r="D249" s="1101">
        <f t="shared" ref="D249:I249" ca="1" si="97">IFERROR(IF(D$248&lt;=(D$190-D$189)/(D$191-D$189),D$189+SQRT(D$248*(D$191-D$189)*(D$190-D$189)),D$191-SQRT((1-D$248)*(D$191-D$189)*(D$191-D$190))),1)</f>
        <v>0.98913056107511788</v>
      </c>
      <c r="E249" s="1101">
        <f t="shared" ca="1" si="97"/>
        <v>1.0139233778054173</v>
      </c>
      <c r="F249" s="1101">
        <f t="shared" ca="1" si="97"/>
        <v>1.020440759023421</v>
      </c>
      <c r="G249" s="1101">
        <f t="shared" ca="1" si="97"/>
        <v>1.0111261945712382</v>
      </c>
      <c r="H249" s="1101">
        <f t="shared" ca="1" si="97"/>
        <v>1.0320079277793135</v>
      </c>
      <c r="I249" s="1101">
        <f t="shared" ca="1" si="97"/>
        <v>1.0007284980399795</v>
      </c>
    </row>
    <row r="250" spans="1:36" x14ac:dyDescent="0.25">
      <c r="A250" s="1096"/>
      <c r="B250" s="305"/>
    </row>
    <row r="251" spans="1:36" x14ac:dyDescent="0.25">
      <c r="A251" s="1096"/>
      <c r="B251" s="1455">
        <v>1</v>
      </c>
      <c r="C251" s="1101">
        <v>1.0254876930985253</v>
      </c>
      <c r="D251" s="1101">
        <v>1.0254544496884879</v>
      </c>
      <c r="E251" s="1101">
        <v>0.99459023548827474</v>
      </c>
      <c r="F251" s="1101">
        <v>0.99414697029362986</v>
      </c>
      <c r="G251" s="1101">
        <v>0.97718223300489182</v>
      </c>
      <c r="H251" s="1101">
        <v>0.99408464549493536</v>
      </c>
      <c r="I251" s="1101">
        <v>1.0141769872060828</v>
      </c>
      <c r="K251">
        <v>1.3018238251861256</v>
      </c>
      <c r="L251">
        <v>0</v>
      </c>
      <c r="M251">
        <v>5.8329365572470015E-4</v>
      </c>
      <c r="N251">
        <v>5.2765483252301987E-2</v>
      </c>
      <c r="O251">
        <v>7.4920269016547766E-3</v>
      </c>
      <c r="P251">
        <v>1.6049230162898519E-2</v>
      </c>
      <c r="Q251">
        <v>4.3141439330116765E-4</v>
      </c>
      <c r="R251">
        <v>5.815622146924616E-4</v>
      </c>
      <c r="S251">
        <v>5.8918755444682107E-2</v>
      </c>
      <c r="T251">
        <v>1.0264967667546652</v>
      </c>
      <c r="U251">
        <v>0</v>
      </c>
      <c r="V251">
        <v>9.5993547443971816E-2</v>
      </c>
      <c r="W251">
        <v>3.4775206012594928E-2</v>
      </c>
      <c r="X251">
        <v>7.3203056246272415E-3</v>
      </c>
      <c r="Y251">
        <v>1.582820636460331E-3</v>
      </c>
    </row>
    <row r="252" spans="1:36" x14ac:dyDescent="0.25">
      <c r="A252" s="1096"/>
      <c r="B252" s="1455">
        <v>2</v>
      </c>
      <c r="C252" s="1101">
        <v>1.0298130266433678</v>
      </c>
      <c r="D252" s="1101">
        <v>0.97045238167889336</v>
      </c>
      <c r="E252" s="1101">
        <v>0.9884212347182828</v>
      </c>
      <c r="F252" s="1101">
        <v>0.98745745791095163</v>
      </c>
      <c r="G252" s="1101">
        <v>1.002605142455067</v>
      </c>
      <c r="H252" s="1101">
        <v>0.99352469480883365</v>
      </c>
      <c r="I252" s="1101">
        <v>1.0291834701970075</v>
      </c>
      <c r="K252">
        <v>1.299736372404821</v>
      </c>
      <c r="L252">
        <v>0</v>
      </c>
      <c r="M252">
        <v>6.0109279129643897E-4</v>
      </c>
      <c r="N252">
        <v>5.3370844680431302E-2</v>
      </c>
      <c r="O252">
        <v>7.625417359470971E-3</v>
      </c>
      <c r="P252">
        <v>1.5931497285194957E-2</v>
      </c>
      <c r="Q252">
        <v>4.3636828121341358E-4</v>
      </c>
      <c r="R252">
        <v>5.9930750993176379E-4</v>
      </c>
      <c r="S252">
        <v>6.1304404687896413E-2</v>
      </c>
      <c r="T252">
        <v>1.0197724375739032</v>
      </c>
      <c r="U252">
        <v>0</v>
      </c>
      <c r="V252">
        <v>9.7115095433295787E-2</v>
      </c>
      <c r="W252">
        <v>3.5304246035198834E-2</v>
      </c>
      <c r="X252">
        <v>7.2467288692137652E-3</v>
      </c>
      <c r="Y252">
        <v>1.6311174803667076E-3</v>
      </c>
    </row>
    <row r="253" spans="1:36" x14ac:dyDescent="0.25">
      <c r="A253" s="1096"/>
      <c r="B253" s="1455">
        <v>3</v>
      </c>
      <c r="C253" s="1101">
        <v>1.0060713010340063</v>
      </c>
      <c r="D253" s="1101">
        <v>0.97201597904619952</v>
      </c>
      <c r="E253" s="1101">
        <v>0.98031758639041189</v>
      </c>
      <c r="F253" s="1101">
        <v>1.0323649815842111</v>
      </c>
      <c r="G253" s="1101">
        <v>0.98661457810891895</v>
      </c>
      <c r="H253" s="1101">
        <v>1.0048353044546599</v>
      </c>
      <c r="I253" s="1101">
        <v>0.99934238536378972</v>
      </c>
      <c r="K253">
        <v>1.3495321449511124</v>
      </c>
      <c r="L253">
        <v>0</v>
      </c>
      <c r="M253">
        <v>6.3239736336604996E-4</v>
      </c>
      <c r="N253">
        <v>5.4792633417011655E-2</v>
      </c>
      <c r="O253">
        <v>7.7983458391758589E-3</v>
      </c>
      <c r="P253">
        <v>1.645668749376283E-2</v>
      </c>
      <c r="Q253">
        <v>4.426124688645089E-4</v>
      </c>
      <c r="R253">
        <v>6.3054024757200941E-4</v>
      </c>
      <c r="S253">
        <v>6.1217846285891053E-2</v>
      </c>
      <c r="T253">
        <v>1.0664024976526536</v>
      </c>
      <c r="U253">
        <v>0</v>
      </c>
      <c r="V253">
        <v>9.6900450413210604E-2</v>
      </c>
      <c r="W253">
        <v>3.6421915021236109E-2</v>
      </c>
      <c r="X253">
        <v>7.3848907787444542E-3</v>
      </c>
      <c r="Y253">
        <v>1.7161226963542608E-3</v>
      </c>
    </row>
    <row r="254" spans="1:36" x14ac:dyDescent="0.25">
      <c r="A254" s="1096"/>
      <c r="B254" s="1455">
        <v>4</v>
      </c>
      <c r="C254" s="1101">
        <v>0.99262819332833607</v>
      </c>
      <c r="D254" s="1101">
        <v>1.0345468956243078</v>
      </c>
      <c r="E254" s="1101">
        <v>0.98591776341877213</v>
      </c>
      <c r="F254" s="1101">
        <v>0.99791582700775872</v>
      </c>
      <c r="G254" s="1101">
        <v>1.0001139115673225</v>
      </c>
      <c r="H254" s="1101">
        <v>0.98134709229628925</v>
      </c>
      <c r="I254" s="1101">
        <v>0.9862792681672844</v>
      </c>
      <c r="K254">
        <v>1.3085560204199804</v>
      </c>
      <c r="L254">
        <v>0</v>
      </c>
      <c r="M254">
        <v>6.0352829612349865E-4</v>
      </c>
      <c r="N254">
        <v>5.3180968586563265E-2</v>
      </c>
      <c r="O254">
        <v>7.7106445787222056E-3</v>
      </c>
      <c r="P254">
        <v>1.6021188093721484E-2</v>
      </c>
      <c r="Q254">
        <v>4.4012857349012049E-4</v>
      </c>
      <c r="R254">
        <v>6.0171353772504399E-4</v>
      </c>
      <c r="S254">
        <v>5.8526050731571334E-2</v>
      </c>
      <c r="T254">
        <v>1.0306483790660712</v>
      </c>
      <c r="U254">
        <v>0</v>
      </c>
      <c r="V254">
        <v>9.7893146727966285E-2</v>
      </c>
      <c r="W254">
        <v>3.5231561613315275E-2</v>
      </c>
      <c r="X254">
        <v>7.2681013120842004E-3</v>
      </c>
      <c r="Y254">
        <v>1.6376658948731679E-3</v>
      </c>
    </row>
    <row r="255" spans="1:36" x14ac:dyDescent="0.25">
      <c r="A255" s="1096"/>
      <c r="B255" s="1455">
        <v>5</v>
      </c>
      <c r="C255" s="1101">
        <v>1.0110756022089293</v>
      </c>
      <c r="D255" s="1101">
        <v>1.0187635471566381</v>
      </c>
      <c r="E255" s="1101">
        <v>1.0111528591300212</v>
      </c>
      <c r="F255" s="1101">
        <v>0.9783308622247634</v>
      </c>
      <c r="G255" s="1101">
        <v>0.99897683309894492</v>
      </c>
      <c r="H255" s="1101">
        <v>0.99505345714758864</v>
      </c>
      <c r="I255" s="1101">
        <v>1.0299859809423084</v>
      </c>
      <c r="K255">
        <v>1.2914276483215164</v>
      </c>
      <c r="L255">
        <v>0</v>
      </c>
      <c r="M255">
        <v>5.7367656203736268E-4</v>
      </c>
      <c r="N255">
        <v>5.4557972766548904E-2</v>
      </c>
      <c r="O255">
        <v>7.6227364555338604E-3</v>
      </c>
      <c r="P255">
        <v>1.6064510142972461E-2</v>
      </c>
      <c r="Q255">
        <v>4.4629814084138161E-4</v>
      </c>
      <c r="R255">
        <v>5.7197532624113899E-4</v>
      </c>
      <c r="S255">
        <v>6.0949672339028198E-2</v>
      </c>
      <c r="T255">
        <v>1.009685077377936</v>
      </c>
      <c r="U255">
        <v>0</v>
      </c>
      <c r="V255">
        <v>9.7410740282670119E-2</v>
      </c>
      <c r="W255">
        <v>3.5605123604798825E-2</v>
      </c>
      <c r="X255">
        <v>7.5304901605702385E-3</v>
      </c>
      <c r="Y255">
        <v>1.5567282864127597E-3</v>
      </c>
    </row>
    <row r="256" spans="1:36" x14ac:dyDescent="0.25">
      <c r="A256" s="1096"/>
      <c r="B256" s="1455">
        <v>6</v>
      </c>
      <c r="C256" s="1101">
        <v>0.97961976268363271</v>
      </c>
      <c r="D256" s="1101">
        <v>0.96139219422249189</v>
      </c>
      <c r="E256" s="1101">
        <v>1.0294248434053614</v>
      </c>
      <c r="F256" s="1101">
        <v>1.0041334510903459</v>
      </c>
      <c r="G256" s="1101">
        <v>0.99629375497713024</v>
      </c>
      <c r="H256" s="1101">
        <v>1.0041920174822132</v>
      </c>
      <c r="I256" s="1101">
        <v>0.97640288751102522</v>
      </c>
      <c r="K256">
        <v>1.3279177696143751</v>
      </c>
      <c r="L256">
        <v>0</v>
      </c>
      <c r="M256">
        <v>5.887366349607144E-4</v>
      </c>
      <c r="N256">
        <v>5.9164729449013846E-2</v>
      </c>
      <c r="O256">
        <v>8.0567093312896489E-3</v>
      </c>
      <c r="P256">
        <v>1.6666324475427013E-2</v>
      </c>
      <c r="Q256">
        <v>4.8035201412741638E-4</v>
      </c>
      <c r="R256">
        <v>5.8700662694715332E-4</v>
      </c>
      <c r="S256">
        <v>6.1820337015974683E-2</v>
      </c>
      <c r="T256">
        <v>1.0357795453631877</v>
      </c>
      <c r="U256">
        <v>0</v>
      </c>
      <c r="V256">
        <v>9.8088825568295471E-2</v>
      </c>
      <c r="W256">
        <v>3.8201069070913592E-2</v>
      </c>
      <c r="X256">
        <v>8.0639688022912867E-3</v>
      </c>
      <c r="Y256">
        <v>1.5976385318675847E-3</v>
      </c>
    </row>
    <row r="257" spans="1:25" x14ac:dyDescent="0.25">
      <c r="A257" s="1096"/>
      <c r="B257" s="1455">
        <v>7</v>
      </c>
      <c r="C257" s="1101">
        <v>1.0162234914687498</v>
      </c>
      <c r="D257" s="1101">
        <v>1.0253575542976765</v>
      </c>
      <c r="E257" s="1101">
        <v>1.0253123844750702</v>
      </c>
      <c r="F257" s="1101">
        <v>0.96545253047699053</v>
      </c>
      <c r="G257" s="1101">
        <v>0.97847573756488992</v>
      </c>
      <c r="H257" s="1101">
        <v>0.97143912750264361</v>
      </c>
      <c r="I257" s="1101">
        <v>0.98886972989390842</v>
      </c>
      <c r="K257">
        <v>1.2709438634268193</v>
      </c>
      <c r="L257">
        <v>0</v>
      </c>
      <c r="M257">
        <v>5.3965786325992841E-4</v>
      </c>
      <c r="N257">
        <v>5.3558949982982614E-2</v>
      </c>
      <c r="O257">
        <v>7.5679706230332676E-3</v>
      </c>
      <c r="P257">
        <v>1.5976585705067863E-2</v>
      </c>
      <c r="Q257">
        <v>4.4937921148003668E-4</v>
      </c>
      <c r="R257">
        <v>5.3801860743381529E-4</v>
      </c>
      <c r="S257">
        <v>5.733751104808036E-2</v>
      </c>
      <c r="T257">
        <v>0.99599451819302209</v>
      </c>
      <c r="U257">
        <v>0</v>
      </c>
      <c r="V257">
        <v>9.6310423136191023E-2</v>
      </c>
      <c r="W257">
        <v>3.4664390803666414E-2</v>
      </c>
      <c r="X257">
        <v>7.6214646874738952E-3</v>
      </c>
      <c r="Y257">
        <v>1.4643092916485705E-3</v>
      </c>
    </row>
    <row r="258" spans="1:25" x14ac:dyDescent="0.25">
      <c r="A258" s="1096"/>
      <c r="B258" s="1455">
        <v>8</v>
      </c>
      <c r="C258" s="1101">
        <v>0.99278181690262668</v>
      </c>
      <c r="D258" s="1101">
        <v>0.97125490067851927</v>
      </c>
      <c r="E258" s="1101">
        <v>1.005059421151079</v>
      </c>
      <c r="F258" s="1101">
        <v>0.99295254318462367</v>
      </c>
      <c r="G258" s="1101">
        <v>0.95279832065204662</v>
      </c>
      <c r="H258" s="1101">
        <v>1.044944607614795</v>
      </c>
      <c r="I258" s="1101">
        <v>0.97712562431778527</v>
      </c>
      <c r="K258">
        <v>1.3142638411853123</v>
      </c>
      <c r="L258">
        <v>0</v>
      </c>
      <c r="M258">
        <v>6.3333873597350415E-4</v>
      </c>
      <c r="N258">
        <v>5.9142327648814629E-2</v>
      </c>
      <c r="O258">
        <v>7.9113940304530797E-3</v>
      </c>
      <c r="P258">
        <v>1.6190097409662121E-2</v>
      </c>
      <c r="Q258">
        <v>4.6038273445655239E-4</v>
      </c>
      <c r="R258">
        <v>6.3155024562784698E-4</v>
      </c>
      <c r="S258">
        <v>6.1927519461946828E-2</v>
      </c>
      <c r="T258">
        <v>1.0249539978555502</v>
      </c>
      <c r="U258">
        <v>0</v>
      </c>
      <c r="V258">
        <v>9.5621603827997212E-2</v>
      </c>
      <c r="W258">
        <v>3.8736065451497124E-2</v>
      </c>
      <c r="X258">
        <v>7.6033696771618392E-3</v>
      </c>
      <c r="Y258">
        <v>1.7188715781164808E-3</v>
      </c>
    </row>
    <row r="259" spans="1:25" x14ac:dyDescent="0.25">
      <c r="A259" s="1096"/>
      <c r="B259" s="1455">
        <v>9</v>
      </c>
      <c r="C259" s="1101">
        <v>1.0069535398481662</v>
      </c>
      <c r="D259" s="1101">
        <v>0.96190522226977881</v>
      </c>
      <c r="E259" s="1101">
        <v>1.0099253525182847</v>
      </c>
      <c r="F259" s="1101">
        <v>1.0009378027224851</v>
      </c>
      <c r="G259" s="1101">
        <v>1.0353682250947323</v>
      </c>
      <c r="H259" s="1101">
        <v>0.96017360448420064</v>
      </c>
      <c r="I259" s="1101">
        <v>1.0162906892820296</v>
      </c>
      <c r="K259">
        <v>1.3167127774119149</v>
      </c>
      <c r="L259">
        <v>0</v>
      </c>
      <c r="M259">
        <v>5.7020196320160344E-4</v>
      </c>
      <c r="N259">
        <v>5.4021114183560884E-2</v>
      </c>
      <c r="O259">
        <v>7.8314948582310865E-3</v>
      </c>
      <c r="P259">
        <v>1.6399787541256719E-2</v>
      </c>
      <c r="Q259">
        <v>4.5795846561375123E-4</v>
      </c>
      <c r="R259">
        <v>5.6844960549161025E-4</v>
      </c>
      <c r="S259">
        <v>6.1183439767950744E-2</v>
      </c>
      <c r="T259">
        <v>1.0330527264030906</v>
      </c>
      <c r="U259">
        <v>0</v>
      </c>
      <c r="V259">
        <v>9.927034448202697E-2</v>
      </c>
      <c r="W259">
        <v>3.5280280779680082E-2</v>
      </c>
      <c r="X259">
        <v>7.6702508514255342E-3</v>
      </c>
      <c r="Y259">
        <v>1.5471324367860746E-3</v>
      </c>
    </row>
    <row r="260" spans="1:25" x14ac:dyDescent="0.25">
      <c r="A260" s="1096"/>
      <c r="B260" s="1455">
        <v>10</v>
      </c>
      <c r="C260" s="1101">
        <v>1.0155676143485057</v>
      </c>
      <c r="D260" s="1101">
        <v>0.97218252877764888</v>
      </c>
      <c r="E260" s="1101">
        <v>0.98729836754892131</v>
      </c>
      <c r="F260" s="1101">
        <v>0.97408603474316291</v>
      </c>
      <c r="G260" s="1101">
        <v>1.0080375804405159</v>
      </c>
      <c r="H260" s="1101">
        <v>1.0385673486993863</v>
      </c>
      <c r="I260" s="1101">
        <v>0.99374592888263225</v>
      </c>
      <c r="K260">
        <v>1.2917437442347157</v>
      </c>
      <c r="L260">
        <v>0</v>
      </c>
      <c r="M260">
        <v>6.3818596459619512E-4</v>
      </c>
      <c r="N260">
        <v>5.6479557391721953E-2</v>
      </c>
      <c r="O260">
        <v>7.7265981477248787E-3</v>
      </c>
      <c r="P260">
        <v>1.5740293128182183E-2</v>
      </c>
      <c r="Q260">
        <v>4.4165626059645892E-4</v>
      </c>
      <c r="R260">
        <v>6.3637271995662856E-4</v>
      </c>
      <c r="S260">
        <v>6.1326128857557151E-2</v>
      </c>
      <c r="T260">
        <v>1.0059963812131207</v>
      </c>
      <c r="U260">
        <v>0</v>
      </c>
      <c r="V260">
        <v>9.7714140865142018E-2</v>
      </c>
      <c r="W260">
        <v>3.7385808716448622E-2</v>
      </c>
      <c r="X260">
        <v>7.2029961353497944E-3</v>
      </c>
      <c r="Y260">
        <v>1.7319967635111889E-3</v>
      </c>
    </row>
    <row r="261" spans="1:25" x14ac:dyDescent="0.25">
      <c r="A261" s="1096"/>
      <c r="B261" s="1455">
        <v>11</v>
      </c>
      <c r="C261" s="1101">
        <v>1.0318054767584743</v>
      </c>
      <c r="D261" s="1101">
        <v>0.96660654840281823</v>
      </c>
      <c r="E261" s="1101">
        <v>1.0298239787234136</v>
      </c>
      <c r="F261" s="1101">
        <v>1.0265512580852718</v>
      </c>
      <c r="G261" s="1101">
        <v>0.9913549707058853</v>
      </c>
      <c r="H261" s="1101">
        <v>0.98873742067262005</v>
      </c>
      <c r="I261" s="1101">
        <v>1.0054974486060082</v>
      </c>
      <c r="K261">
        <v>1.340659960234498</v>
      </c>
      <c r="L261">
        <v>0</v>
      </c>
      <c r="M261">
        <v>5.4871158969337726E-4</v>
      </c>
      <c r="N261">
        <v>5.5206284033747943E-2</v>
      </c>
      <c r="O261">
        <v>7.6327888692188121E-3</v>
      </c>
      <c r="P261">
        <v>1.6944037861345781E-2</v>
      </c>
      <c r="Q261">
        <v>4.55256953597235E-4</v>
      </c>
      <c r="R261">
        <v>5.470739928953583E-4</v>
      </c>
      <c r="S261">
        <v>5.9801226147710405E-2</v>
      </c>
      <c r="T261">
        <v>1.058892032339851</v>
      </c>
      <c r="U261">
        <v>0</v>
      </c>
      <c r="V261">
        <v>9.6570168025683009E-2</v>
      </c>
      <c r="W261">
        <v>3.5636947640631855E-2</v>
      </c>
      <c r="X261">
        <v>8.0339008937415843E-3</v>
      </c>
      <c r="Y261">
        <v>1.4889550657678752E-3</v>
      </c>
    </row>
    <row r="262" spans="1:25" x14ac:dyDescent="0.25">
      <c r="A262" s="1096"/>
      <c r="B262" s="1455">
        <v>12</v>
      </c>
      <c r="C262" s="1101">
        <v>1.0017054188683487</v>
      </c>
      <c r="D262" s="1101">
        <v>1.0337344647931723</v>
      </c>
      <c r="E262" s="1101">
        <v>0.99221541728544815</v>
      </c>
      <c r="F262" s="1101">
        <v>1.0101568507422891</v>
      </c>
      <c r="G262" s="1101">
        <v>1.004460825580888</v>
      </c>
      <c r="H262" s="1101">
        <v>0.97280201071447547</v>
      </c>
      <c r="I262" s="1101">
        <v>0.97032041422561344</v>
      </c>
      <c r="K262">
        <v>1.3183924458160714</v>
      </c>
      <c r="L262">
        <v>0</v>
      </c>
      <c r="M262">
        <v>5.8535442527867139E-4</v>
      </c>
      <c r="N262">
        <v>5.2569734265583798E-2</v>
      </c>
      <c r="O262">
        <v>7.6446942165272549E-3</v>
      </c>
      <c r="P262">
        <v>1.6243193570803054E-2</v>
      </c>
      <c r="Q262">
        <v>4.3915204850384661E-4</v>
      </c>
      <c r="R262">
        <v>5.8357885337285563E-4</v>
      </c>
      <c r="S262">
        <v>5.683774189647512E-2</v>
      </c>
      <c r="T262">
        <v>1.0430994894838179</v>
      </c>
      <c r="U262">
        <v>0</v>
      </c>
      <c r="V262">
        <v>9.7884224752852467E-2</v>
      </c>
      <c r="W262">
        <v>3.4695389437523733E-2</v>
      </c>
      <c r="X262">
        <v>7.3922924537245614E-3</v>
      </c>
      <c r="Y262">
        <v>1.5883092621636016E-3</v>
      </c>
    </row>
    <row r="263" spans="1:25" x14ac:dyDescent="0.25">
      <c r="A263" s="1096"/>
      <c r="B263" s="1455">
        <v>13</v>
      </c>
      <c r="C263" s="1101">
        <v>1.0172679631873798</v>
      </c>
      <c r="D263" s="1101">
        <v>0.98836963021946578</v>
      </c>
      <c r="E263" s="1101">
        <v>0.98718768312587435</v>
      </c>
      <c r="F263" s="1101">
        <v>0.99091867370940467</v>
      </c>
      <c r="G263" s="1101">
        <v>0.9992683142415042</v>
      </c>
      <c r="H263" s="1101">
        <v>0.99817633383509696</v>
      </c>
      <c r="I263" s="1101">
        <v>0.99613138403571</v>
      </c>
      <c r="K263">
        <v>1.3026474549137754</v>
      </c>
      <c r="L263">
        <v>0</v>
      </c>
      <c r="M263">
        <v>6.0844903736661398E-4</v>
      </c>
      <c r="N263">
        <v>5.3823607548520322E-2</v>
      </c>
      <c r="O263">
        <v>7.66287341535778E-3</v>
      </c>
      <c r="P263">
        <v>1.5944482981039086E-2</v>
      </c>
      <c r="Q263">
        <v>4.3796464711081117E-4</v>
      </c>
      <c r="R263">
        <v>6.0665032898700542E-4</v>
      </c>
      <c r="S263">
        <v>5.9618236221524873E-2</v>
      </c>
      <c r="T263">
        <v>1.0233837515105588</v>
      </c>
      <c r="U263">
        <v>0</v>
      </c>
      <c r="V263">
        <v>9.7249043606485008E-2</v>
      </c>
      <c r="W263">
        <v>3.5630109546637138E-2</v>
      </c>
      <c r="X263">
        <v>7.2480819316457328E-3</v>
      </c>
      <c r="Y263">
        <v>1.6511022132754247E-3</v>
      </c>
    </row>
    <row r="264" spans="1:25" x14ac:dyDescent="0.25">
      <c r="A264" s="1096"/>
      <c r="B264" s="1455">
        <v>14</v>
      </c>
      <c r="C264" s="1101">
        <v>1.0090262350954022</v>
      </c>
      <c r="D264" s="1101">
        <v>0.9876339167274738</v>
      </c>
      <c r="E264" s="1101">
        <v>1.0221614870995088</v>
      </c>
      <c r="F264" s="1101">
        <v>1.0411347456507229</v>
      </c>
      <c r="G264" s="1101">
        <v>0.97879639423822618</v>
      </c>
      <c r="H264" s="1101">
        <v>1.0050574928967819</v>
      </c>
      <c r="I264" s="1101">
        <v>1.006146544379563</v>
      </c>
      <c r="K264">
        <v>1.3596243686120799</v>
      </c>
      <c r="L264">
        <v>0</v>
      </c>
      <c r="M264">
        <v>5.7456761848216522E-4</v>
      </c>
      <c r="N264">
        <v>5.6490037289083632E-2</v>
      </c>
      <c r="O264">
        <v>7.7363221307134161E-3</v>
      </c>
      <c r="P264">
        <v>1.7076724101233075E-2</v>
      </c>
      <c r="Q264">
        <v>4.5794199841169491E-4</v>
      </c>
      <c r="R264">
        <v>5.7288070014537733E-4</v>
      </c>
      <c r="S264">
        <v>6.0978694528064793E-2</v>
      </c>
      <c r="T264">
        <v>1.0741662649261408</v>
      </c>
      <c r="U264">
        <v>0</v>
      </c>
      <c r="V264">
        <v>9.6496444375362589E-2</v>
      </c>
      <c r="W264">
        <v>3.662871039683533E-2</v>
      </c>
      <c r="X264">
        <v>8.0357233688466718E-3</v>
      </c>
      <c r="Y264">
        <v>1.5591924157236689E-3</v>
      </c>
    </row>
    <row r="265" spans="1:25" x14ac:dyDescent="0.25">
      <c r="A265" s="1096"/>
      <c r="B265" s="1455">
        <v>15</v>
      </c>
      <c r="C265" s="1101">
        <v>1.0132086674018073</v>
      </c>
      <c r="D265" s="1101">
        <v>0.97269930017053263</v>
      </c>
      <c r="E265" s="1101">
        <v>0.98204327503268662</v>
      </c>
      <c r="F265" s="1101">
        <v>1.0062372787636784</v>
      </c>
      <c r="G265" s="1101">
        <v>1.0374150572911809</v>
      </c>
      <c r="H265" s="1101">
        <v>1.0028914146717998</v>
      </c>
      <c r="I265" s="1101">
        <v>1.0126186152409544</v>
      </c>
      <c r="K265">
        <v>1.3238492588060646</v>
      </c>
      <c r="L265">
        <v>0</v>
      </c>
      <c r="M265">
        <v>6.243194357493096E-4</v>
      </c>
      <c r="N265">
        <v>5.4375580266563174E-2</v>
      </c>
      <c r="O265">
        <v>7.7416569058383596E-3</v>
      </c>
      <c r="P265">
        <v>1.6149121874223248E-2</v>
      </c>
      <c r="Q265">
        <v>4.4016582455768923E-4</v>
      </c>
      <c r="R265">
        <v>6.2248248818288707E-4</v>
      </c>
      <c r="S265">
        <v>6.1512667188738712E-2</v>
      </c>
      <c r="T265">
        <v>1.0393606911978683</v>
      </c>
      <c r="U265">
        <v>0</v>
      </c>
      <c r="V265">
        <v>9.9186153916380915E-2</v>
      </c>
      <c r="W265">
        <v>3.6107081891347717E-2</v>
      </c>
      <c r="X265">
        <v>7.2837845565749508E-3</v>
      </c>
      <c r="Y265">
        <v>1.6941921315367381E-3</v>
      </c>
    </row>
    <row r="266" spans="1:25" x14ac:dyDescent="0.25">
      <c r="A266" s="1096"/>
      <c r="B266" s="1455">
        <v>16</v>
      </c>
      <c r="C266" s="1101">
        <v>0.99826825484633974</v>
      </c>
      <c r="D266" s="1101">
        <v>1.001790585450048</v>
      </c>
      <c r="E266" s="1101">
        <v>0.98015391691343046</v>
      </c>
      <c r="F266" s="1101">
        <v>0.98840453932051475</v>
      </c>
      <c r="G266" s="1101">
        <v>1.0057166463441538</v>
      </c>
      <c r="H266" s="1101">
        <v>0.96710938347290665</v>
      </c>
      <c r="I266" s="1101">
        <v>0.97986824046067811</v>
      </c>
      <c r="K266">
        <v>1.2976212299819256</v>
      </c>
      <c r="L266">
        <v>0</v>
      </c>
      <c r="M266">
        <v>6.0625848625758946E-4</v>
      </c>
      <c r="N266">
        <v>5.249585236279352E-2</v>
      </c>
      <c r="O266">
        <v>7.7649798364041291E-3</v>
      </c>
      <c r="P266">
        <v>1.5821583601159175E-2</v>
      </c>
      <c r="Q266">
        <v>4.4064540783512806E-4</v>
      </c>
      <c r="R266">
        <v>6.0440868081864686E-4</v>
      </c>
      <c r="S266">
        <v>5.839319764451853E-2</v>
      </c>
      <c r="T266">
        <v>1.0209975714505912</v>
      </c>
      <c r="U266">
        <v>0</v>
      </c>
      <c r="V266">
        <v>9.8016735503967056E-2</v>
      </c>
      <c r="W266">
        <v>3.4898640319765195E-2</v>
      </c>
      <c r="X266">
        <v>7.1488724744097967E-3</v>
      </c>
      <c r="Y266">
        <v>1.645001185920273E-3</v>
      </c>
    </row>
    <row r="267" spans="1:25" x14ac:dyDescent="0.25">
      <c r="A267" s="1096"/>
      <c r="B267" s="1455">
        <v>17</v>
      </c>
      <c r="C267" s="1101">
        <v>1.0192246205682327</v>
      </c>
      <c r="D267" s="1101">
        <v>1.0006193207746701</v>
      </c>
      <c r="E267" s="1101">
        <v>1.0370011675114454</v>
      </c>
      <c r="F267" s="1101">
        <v>1.0074422221557668</v>
      </c>
      <c r="G267" s="1101">
        <v>0.99257247575658802</v>
      </c>
      <c r="H267" s="1101">
        <v>1.007136148968923</v>
      </c>
      <c r="I267" s="1101">
        <v>0.998532794978503</v>
      </c>
      <c r="K267">
        <v>1.3227199712340587</v>
      </c>
      <c r="L267">
        <v>0</v>
      </c>
      <c r="M267">
        <v>5.4976002064805959E-4</v>
      </c>
      <c r="N267">
        <v>5.6524326944697285E-2</v>
      </c>
      <c r="O267">
        <v>7.6225885493441808E-3</v>
      </c>
      <c r="P267">
        <v>1.6755051102405681E-2</v>
      </c>
      <c r="Q267">
        <v>4.5788016362214592E-4</v>
      </c>
      <c r="R267">
        <v>5.4814926824412553E-4</v>
      </c>
      <c r="S267">
        <v>5.9570087827562165E-2</v>
      </c>
      <c r="T267">
        <v>1.0389729215376162</v>
      </c>
      <c r="U267">
        <v>0</v>
      </c>
      <c r="V267">
        <v>9.693374390616033E-2</v>
      </c>
      <c r="W267">
        <v>3.6336481051394989E-2</v>
      </c>
      <c r="X267">
        <v>8.0566192928563859E-3</v>
      </c>
      <c r="Y267">
        <v>1.4918816108027964E-3</v>
      </c>
    </row>
    <row r="268" spans="1:25" x14ac:dyDescent="0.25">
      <c r="A268" s="1096"/>
      <c r="B268" s="1455">
        <v>18</v>
      </c>
      <c r="C268" s="1101">
        <v>0.95894269820573053</v>
      </c>
      <c r="D268" s="1101">
        <v>0.95432236893252731</v>
      </c>
      <c r="E268" s="1101">
        <v>1.0293083990123251</v>
      </c>
      <c r="F268" s="1101">
        <v>1.0322476565741818</v>
      </c>
      <c r="G268" s="1101">
        <v>0.98420001567455673</v>
      </c>
      <c r="H268" s="1101">
        <v>0.97773946674877277</v>
      </c>
      <c r="I268" s="1101">
        <v>0.97364791630605618</v>
      </c>
      <c r="K268">
        <v>1.3579951670431691</v>
      </c>
      <c r="L268">
        <v>0</v>
      </c>
      <c r="M268">
        <v>5.8746214706593947E-4</v>
      </c>
      <c r="N268">
        <v>5.9011223957055763E-2</v>
      </c>
      <c r="O268">
        <v>8.2547355961698349E-3</v>
      </c>
      <c r="P268">
        <v>1.7076507246123224E-2</v>
      </c>
      <c r="Q268">
        <v>4.9210193285862129E-4</v>
      </c>
      <c r="R268">
        <v>5.8568918043990425E-4</v>
      </c>
      <c r="S268">
        <v>6.238926652045803E-2</v>
      </c>
      <c r="T268">
        <v>1.0647832662744197</v>
      </c>
      <c r="U268">
        <v>0</v>
      </c>
      <c r="V268">
        <v>9.804927405845229E-2</v>
      </c>
      <c r="W268">
        <v>3.8104531515599782E-2</v>
      </c>
      <c r="X268">
        <v>8.2419800318866213E-3</v>
      </c>
      <c r="Y268">
        <v>1.5940528767709771E-3</v>
      </c>
    </row>
    <row r="269" spans="1:25" x14ac:dyDescent="0.25">
      <c r="A269" s="1096"/>
      <c r="B269" s="1455">
        <v>19</v>
      </c>
      <c r="C269" s="1101">
        <v>0.99850996787245117</v>
      </c>
      <c r="D269" s="1101">
        <v>1.001094674139678</v>
      </c>
      <c r="E269" s="1101">
        <v>1.0437530786838711</v>
      </c>
      <c r="F269" s="1101">
        <v>0.99305900247308521</v>
      </c>
      <c r="G269" s="1101">
        <v>1.0084169244399441</v>
      </c>
      <c r="H269" s="1101">
        <v>1.0039342097409394</v>
      </c>
      <c r="I269" s="1101">
        <v>1.0214850523921599</v>
      </c>
      <c r="K269">
        <v>1.3137455341380451</v>
      </c>
      <c r="L269">
        <v>0</v>
      </c>
      <c r="M269">
        <v>5.5144925625598559E-4</v>
      </c>
      <c r="N269">
        <v>5.7862434069363651E-2</v>
      </c>
      <c r="O269">
        <v>7.7809145560313563E-3</v>
      </c>
      <c r="P269">
        <v>1.6678690510991131E-2</v>
      </c>
      <c r="Q269">
        <v>4.705033545288506E-4</v>
      </c>
      <c r="R269">
        <v>5.4982840142297573E-4</v>
      </c>
      <c r="S269">
        <v>6.2094517294363293E-2</v>
      </c>
      <c r="T269">
        <v>1.0239479787028729</v>
      </c>
      <c r="U269">
        <v>0</v>
      </c>
      <c r="V269">
        <v>9.8212856451676087E-2</v>
      </c>
      <c r="W269">
        <v>3.7052354674697169E-2</v>
      </c>
      <c r="X269">
        <v>8.1504537205641728E-3</v>
      </c>
      <c r="Y269">
        <v>1.4964516577895229E-3</v>
      </c>
    </row>
    <row r="270" spans="1:25" x14ac:dyDescent="0.25">
      <c r="A270" s="1096"/>
      <c r="B270" s="1455">
        <v>20</v>
      </c>
      <c r="C270" s="1101">
        <v>1.016243222762359</v>
      </c>
      <c r="D270" s="1101">
        <v>0.96882872682914434</v>
      </c>
      <c r="E270" s="1101">
        <v>0.99078961726076464</v>
      </c>
      <c r="F270" s="1101">
        <v>0.99920672635570662</v>
      </c>
      <c r="G270" s="1101">
        <v>0.97449631317710417</v>
      </c>
      <c r="H270" s="1101">
        <v>0.9966289905503215</v>
      </c>
      <c r="I270" s="1101">
        <v>1.0140968596975632</v>
      </c>
      <c r="K270">
        <v>1.31292839126474</v>
      </c>
      <c r="L270">
        <v>0</v>
      </c>
      <c r="M270">
        <v>6.0844014534837637E-4</v>
      </c>
      <c r="N270">
        <v>5.441195999796173E-2</v>
      </c>
      <c r="O270">
        <v>7.7329947043933128E-3</v>
      </c>
      <c r="P270">
        <v>1.6110119120766646E-2</v>
      </c>
      <c r="Q270">
        <v>4.4358529981065691E-4</v>
      </c>
      <c r="R270">
        <v>6.0663867066300392E-4</v>
      </c>
      <c r="S270">
        <v>6.1365603016277102E-2</v>
      </c>
      <c r="T270">
        <v>1.031835032691814</v>
      </c>
      <c r="U270">
        <v>0</v>
      </c>
      <c r="V270">
        <v>9.6079262697348553E-2</v>
      </c>
      <c r="W270">
        <v>3.5941886062625057E-2</v>
      </c>
      <c r="X270">
        <v>7.3586786652666417E-3</v>
      </c>
      <c r="Y270">
        <v>1.6510704831606581E-3</v>
      </c>
    </row>
    <row r="271" spans="1:25" x14ac:dyDescent="0.25">
      <c r="A271" s="1096"/>
      <c r="B271" s="1455">
        <v>21</v>
      </c>
      <c r="C271" s="1101">
        <v>1.0047830109842122</v>
      </c>
      <c r="D271" s="1101">
        <v>0.98745405585475243</v>
      </c>
      <c r="E271" s="1101">
        <v>1.0120176921607658</v>
      </c>
      <c r="F271" s="1101">
        <v>1.0366354909757582</v>
      </c>
      <c r="G271" s="1101">
        <v>1.0048552666010231</v>
      </c>
      <c r="H271" s="1101">
        <v>0.98895360098868612</v>
      </c>
      <c r="I271" s="1101">
        <v>1.0408381599744903</v>
      </c>
      <c r="K271">
        <v>1.3564756124604307</v>
      </c>
      <c r="L271">
        <v>0</v>
      </c>
      <c r="M271">
        <v>5.798959468197787E-4</v>
      </c>
      <c r="N271">
        <v>5.5292598957008832E-2</v>
      </c>
      <c r="O271">
        <v>7.7670615567176108E-3</v>
      </c>
      <c r="P271">
        <v>1.6934409892867718E-2</v>
      </c>
      <c r="Q271">
        <v>4.5514109295435575E-4</v>
      </c>
      <c r="R271">
        <v>5.7816566049468505E-4</v>
      </c>
      <c r="S271">
        <v>6.2831357437470189E-2</v>
      </c>
      <c r="T271">
        <v>1.0698319167167489</v>
      </c>
      <c r="U271">
        <v>0</v>
      </c>
      <c r="V271">
        <v>9.7849644589570114E-2</v>
      </c>
      <c r="W271">
        <v>3.6066174167706438E-2</v>
      </c>
      <c r="X271">
        <v>7.8754620001021663E-3</v>
      </c>
      <c r="Y271">
        <v>1.5735763356077733E-3</v>
      </c>
    </row>
    <row r="272" spans="1:25" x14ac:dyDescent="0.25">
      <c r="A272" s="1096"/>
      <c r="B272" s="1455">
        <v>22</v>
      </c>
      <c r="C272" s="1101">
        <v>1.0304025561392018</v>
      </c>
      <c r="D272" s="1101">
        <v>0.99107007422689863</v>
      </c>
      <c r="E272" s="1101">
        <v>1.0084141810138385</v>
      </c>
      <c r="F272" s="1101">
        <v>0.9892643136485032</v>
      </c>
      <c r="G272" s="1101">
        <v>1.0009063536820915</v>
      </c>
      <c r="H272" s="1101">
        <v>1.0221071044294348</v>
      </c>
      <c r="I272" s="1101">
        <v>1.0304027447489559</v>
      </c>
      <c r="K272">
        <v>1.3046829901648616</v>
      </c>
      <c r="L272">
        <v>0</v>
      </c>
      <c r="M272">
        <v>5.8796612527190438E-4</v>
      </c>
      <c r="N272">
        <v>5.5460883131900063E-2</v>
      </c>
      <c r="O272">
        <v>7.5620154729880732E-3</v>
      </c>
      <c r="P272">
        <v>1.6191114436609536E-2</v>
      </c>
      <c r="Q272">
        <v>4.4153245186951166E-4</v>
      </c>
      <c r="R272">
        <v>5.8626866461565714E-4</v>
      </c>
      <c r="S272">
        <v>6.1548427598751308E-2</v>
      </c>
      <c r="T272">
        <v>1.0210487847118894</v>
      </c>
      <c r="U272">
        <v>0</v>
      </c>
      <c r="V272">
        <v>9.7041218856041708E-2</v>
      </c>
      <c r="W272">
        <v>3.6252881396563588E-2</v>
      </c>
      <c r="X272">
        <v>7.5421995272351465E-3</v>
      </c>
      <c r="Y272">
        <v>1.595630041670469E-3</v>
      </c>
    </row>
    <row r="273" spans="1:25" x14ac:dyDescent="0.25">
      <c r="A273" s="1096"/>
      <c r="B273" s="1455">
        <v>23</v>
      </c>
      <c r="C273" s="1101">
        <v>1.0002435595654424</v>
      </c>
      <c r="D273" s="1101">
        <v>1.0160276248510844</v>
      </c>
      <c r="E273" s="1101">
        <v>1.0125925605097958</v>
      </c>
      <c r="F273" s="1101">
        <v>0.9768710216955826</v>
      </c>
      <c r="G273" s="1101">
        <v>1.0075968971086975</v>
      </c>
      <c r="H273" s="1101">
        <v>0.99220727031093192</v>
      </c>
      <c r="I273" s="1101">
        <v>0.9686349420378334</v>
      </c>
      <c r="K273">
        <v>1.2885561194732515</v>
      </c>
      <c r="L273">
        <v>0</v>
      </c>
      <c r="M273">
        <v>5.7712352472084091E-4</v>
      </c>
      <c r="N273">
        <v>5.5124361495423498E-2</v>
      </c>
      <c r="O273">
        <v>7.7139305952066087E-3</v>
      </c>
      <c r="P273">
        <v>1.6028264092453628E-2</v>
      </c>
      <c r="Q273">
        <v>4.5228718503449792E-4</v>
      </c>
      <c r="R273">
        <v>5.7540715758304503E-4</v>
      </c>
      <c r="S273">
        <v>5.7941247773026949E-2</v>
      </c>
      <c r="T273">
        <v>1.00813708585252</v>
      </c>
      <c r="U273">
        <v>0</v>
      </c>
      <c r="V273">
        <v>9.8094892376931114E-2</v>
      </c>
      <c r="W273">
        <v>3.5944271923037861E-2</v>
      </c>
      <c r="X273">
        <v>7.5554259467329292E-3</v>
      </c>
      <c r="Y273">
        <v>1.5660686000225296E-3</v>
      </c>
    </row>
    <row r="274" spans="1:25" x14ac:dyDescent="0.25">
      <c r="A274" s="1096"/>
      <c r="B274" s="1455">
        <v>24</v>
      </c>
      <c r="C274" s="1101">
        <v>1.0036534404364896</v>
      </c>
      <c r="D274" s="1101">
        <v>1.0046037873238485</v>
      </c>
      <c r="E274" s="1101">
        <v>0.9977323985232438</v>
      </c>
      <c r="F274" s="1101">
        <v>1.0129364445236579</v>
      </c>
      <c r="G274" s="1101">
        <v>1.021970855174325</v>
      </c>
      <c r="H274" s="1101">
        <v>1.0109680506220762</v>
      </c>
      <c r="I274" s="1101">
        <v>0.99810284886916489</v>
      </c>
      <c r="K274">
        <v>1.3305886885746743</v>
      </c>
      <c r="L274">
        <v>0</v>
      </c>
      <c r="M274">
        <v>6.0713834209367404E-4</v>
      </c>
      <c r="N274">
        <v>5.5449279364829525E-2</v>
      </c>
      <c r="O274">
        <v>7.7189417639266312E-3</v>
      </c>
      <c r="P274">
        <v>1.6407035918373891E-2</v>
      </c>
      <c r="Q274">
        <v>4.4588994353934647E-4</v>
      </c>
      <c r="R274">
        <v>6.0536621833637793E-4</v>
      </c>
      <c r="S274">
        <v>6.041748251252891E-2</v>
      </c>
      <c r="T274">
        <v>1.0458025543280818</v>
      </c>
      <c r="U274">
        <v>0</v>
      </c>
      <c r="V274">
        <v>9.8689422163370788E-2</v>
      </c>
      <c r="W274">
        <v>3.6475577541067956E-2</v>
      </c>
      <c r="X274">
        <v>7.536669875319907E-3</v>
      </c>
      <c r="Y274">
        <v>1.6476072873913791E-3</v>
      </c>
    </row>
    <row r="275" spans="1:25" x14ac:dyDescent="0.25">
      <c r="A275" s="1096"/>
      <c r="B275" s="1455">
        <v>25</v>
      </c>
      <c r="C275" s="1101">
        <v>1.0162913245391159</v>
      </c>
      <c r="D275" s="1101">
        <v>1.0018599813090494</v>
      </c>
      <c r="E275" s="1101">
        <v>0.99174830450405227</v>
      </c>
      <c r="F275" s="1101">
        <v>1.0003554476943111</v>
      </c>
      <c r="G275" s="1101">
        <v>0.99526947774060071</v>
      </c>
      <c r="H275" s="1101">
        <v>0.96846454432594642</v>
      </c>
      <c r="I275" s="1101">
        <v>0.99574144569139345</v>
      </c>
      <c r="K275">
        <v>1.3081836276595233</v>
      </c>
      <c r="L275">
        <v>0</v>
      </c>
      <c r="M275">
        <v>5.8218503861745573E-4</v>
      </c>
      <c r="N275">
        <v>5.2210606673096224E-2</v>
      </c>
      <c r="O275">
        <v>7.6298552869728878E-3</v>
      </c>
      <c r="P275">
        <v>1.6109962205462586E-2</v>
      </c>
      <c r="Q275">
        <v>4.3809295788933069E-4</v>
      </c>
      <c r="R275">
        <v>5.8041117129626675E-4</v>
      </c>
      <c r="S275">
        <v>5.8336008466581109E-2</v>
      </c>
      <c r="T275">
        <v>1.0329924692379542</v>
      </c>
      <c r="U275">
        <v>0</v>
      </c>
      <c r="V275">
        <v>9.7084046831698509E-2</v>
      </c>
      <c r="W275">
        <v>3.4467998258329947E-2</v>
      </c>
      <c r="X275">
        <v>7.3366737330825115E-3</v>
      </c>
      <c r="Y275">
        <v>1.5796878757772426E-3</v>
      </c>
    </row>
    <row r="276" spans="1:25" x14ac:dyDescent="0.25">
      <c r="A276" s="1096"/>
      <c r="B276" s="1455">
        <v>26</v>
      </c>
      <c r="C276" s="1101">
        <v>0.99181886016306087</v>
      </c>
      <c r="D276" s="1101">
        <v>1.0167305699123783</v>
      </c>
      <c r="E276" s="1101">
        <v>1.0024479485111257</v>
      </c>
      <c r="F276" s="1101">
        <v>0.96824529252552471</v>
      </c>
      <c r="G276" s="1101">
        <v>0.99439830294054821</v>
      </c>
      <c r="H276" s="1101">
        <v>0.9811501599655007</v>
      </c>
      <c r="I276" s="1101">
        <v>0.99957601745284619</v>
      </c>
      <c r="K276">
        <v>1.2802635522441637</v>
      </c>
      <c r="L276">
        <v>0</v>
      </c>
      <c r="M276">
        <v>5.8763084926806712E-4</v>
      </c>
      <c r="N276">
        <v>5.443289257645563E-2</v>
      </c>
      <c r="O276">
        <v>7.774805246413284E-3</v>
      </c>
      <c r="P276">
        <v>1.5811729488768821E-2</v>
      </c>
      <c r="Q276">
        <v>4.5125068518714725E-4</v>
      </c>
      <c r="R276">
        <v>5.8586353848797497E-4</v>
      </c>
      <c r="S276">
        <v>5.992967778599298E-2</v>
      </c>
      <c r="T276">
        <v>0.99952544722991943</v>
      </c>
      <c r="U276">
        <v>0</v>
      </c>
      <c r="V276">
        <v>9.7655464718278975E-2</v>
      </c>
      <c r="W276">
        <v>3.5706771816505237E-2</v>
      </c>
      <c r="X276">
        <v>7.382752585520457E-3</v>
      </c>
      <c r="Y276">
        <v>1.5945274219007102E-3</v>
      </c>
    </row>
    <row r="277" spans="1:25" x14ac:dyDescent="0.25">
      <c r="A277" s="1096"/>
      <c r="B277" s="1455">
        <v>27</v>
      </c>
      <c r="C277" s="1101">
        <v>1.0251374237433442</v>
      </c>
      <c r="D277" s="1101">
        <v>1.008138913873095</v>
      </c>
      <c r="E277" s="1101">
        <v>1.0139181882771082</v>
      </c>
      <c r="F277" s="1101">
        <v>0.9674970105988755</v>
      </c>
      <c r="G277" s="1101">
        <v>1.0167457079486519</v>
      </c>
      <c r="H277" s="1101">
        <v>1.0332199708679357</v>
      </c>
      <c r="I277" s="1101">
        <v>1.0137746159569252</v>
      </c>
      <c r="K277">
        <v>1.2829806882039847</v>
      </c>
      <c r="L277">
        <v>0</v>
      </c>
      <c r="M277">
        <v>5.8659756265977739E-4</v>
      </c>
      <c r="N277">
        <v>5.6260570009868706E-2</v>
      </c>
      <c r="O277">
        <v>7.5504301508753594E-3</v>
      </c>
      <c r="P277">
        <v>1.5945318242212306E-2</v>
      </c>
      <c r="Q277">
        <v>4.4328672128840198E-4</v>
      </c>
      <c r="R277">
        <v>5.8492226770527731E-4</v>
      </c>
      <c r="S277">
        <v>6.065275804606314E-2</v>
      </c>
      <c r="T277">
        <v>0.99842537760798922</v>
      </c>
      <c r="U277">
        <v>0</v>
      </c>
      <c r="V277">
        <v>9.7937212015857589E-2</v>
      </c>
      <c r="W277">
        <v>3.6656553719427269E-2</v>
      </c>
      <c r="X277">
        <v>7.5188913922379329E-3</v>
      </c>
      <c r="Y277">
        <v>1.5919655931200371E-3</v>
      </c>
    </row>
    <row r="278" spans="1:25" x14ac:dyDescent="0.25">
      <c r="A278" s="1096"/>
      <c r="B278" s="1455">
        <v>28</v>
      </c>
      <c r="C278" s="1101">
        <v>1.0307410378795083</v>
      </c>
      <c r="D278" s="1101">
        <v>0.96987366288402166</v>
      </c>
      <c r="E278" s="1101">
        <v>0.95555370366608039</v>
      </c>
      <c r="F278" s="1101">
        <v>0.9895294887341175</v>
      </c>
      <c r="G278" s="1101">
        <v>1.0139911860583866</v>
      </c>
      <c r="H278" s="1101">
        <v>1.0253137084046646</v>
      </c>
      <c r="I278" s="1101">
        <v>0.97190345553151358</v>
      </c>
      <c r="K278">
        <v>1.3007546852490333</v>
      </c>
      <c r="L278">
        <v>0</v>
      </c>
      <c r="M278">
        <v>6.6345242738158491E-4</v>
      </c>
      <c r="N278">
        <v>5.3333258986490766E-2</v>
      </c>
      <c r="O278">
        <v>7.6124822736796226E-3</v>
      </c>
      <c r="P278">
        <v>1.5549955702925717E-2</v>
      </c>
      <c r="Q278">
        <v>4.2125241205618762E-4</v>
      </c>
      <c r="R278">
        <v>6.6154302771749356E-4</v>
      </c>
      <c r="S278">
        <v>5.875424007032394E-2</v>
      </c>
      <c r="T278">
        <v>1.0229076049715844</v>
      </c>
      <c r="U278">
        <v>0</v>
      </c>
      <c r="V278">
        <v>9.7608205679501459E-2</v>
      </c>
      <c r="W278">
        <v>3.5991118150065914E-2</v>
      </c>
      <c r="X278">
        <v>6.7779743582226876E-3</v>
      </c>
      <c r="Y278">
        <v>1.8005020438465402E-3</v>
      </c>
    </row>
    <row r="279" spans="1:25" x14ac:dyDescent="0.25">
      <c r="A279" s="1096"/>
      <c r="B279" s="1455">
        <v>29</v>
      </c>
      <c r="C279" s="1101">
        <v>1.0098427238400935</v>
      </c>
      <c r="D279" s="1101">
        <v>1.0093974579443894</v>
      </c>
      <c r="E279" s="1101">
        <v>0.9876412975664991</v>
      </c>
      <c r="F279" s="1101">
        <v>1.0241069735319115</v>
      </c>
      <c r="G279" s="1101">
        <v>1.0364570624453822</v>
      </c>
      <c r="H279" s="1101">
        <v>1.0118333342217478</v>
      </c>
      <c r="I279" s="1101">
        <v>1.0158749558242068</v>
      </c>
      <c r="K279">
        <v>1.3421130365583671</v>
      </c>
      <c r="L279">
        <v>0</v>
      </c>
      <c r="M279">
        <v>6.1552058978360481E-4</v>
      </c>
      <c r="N279">
        <v>5.4526082537009454E-2</v>
      </c>
      <c r="O279">
        <v>7.6545977391844211E-3</v>
      </c>
      <c r="P279">
        <v>1.6458045705202005E-2</v>
      </c>
      <c r="Q279">
        <v>4.376925814920785E-4</v>
      </c>
      <c r="R279">
        <v>6.1372553618562311E-4</v>
      </c>
      <c r="S279">
        <v>6.0977380537549447E-2</v>
      </c>
      <c r="T279">
        <v>1.0576453846157114</v>
      </c>
      <c r="U279">
        <v>0</v>
      </c>
      <c r="V279">
        <v>9.9227569569492552E-2</v>
      </c>
      <c r="W279">
        <v>3.60853060526133E-2</v>
      </c>
      <c r="X279">
        <v>7.4324136787803745E-3</v>
      </c>
      <c r="Y279">
        <v>1.6703585949286359E-3</v>
      </c>
    </row>
    <row r="280" spans="1:25" x14ac:dyDescent="0.25">
      <c r="A280" s="1096"/>
      <c r="B280" s="1455">
        <v>30</v>
      </c>
      <c r="C280" s="1101">
        <v>0.98596600889196984</v>
      </c>
      <c r="D280" s="1101">
        <v>0.99428148715743447</v>
      </c>
      <c r="E280" s="1101">
        <v>0.98926589091456829</v>
      </c>
      <c r="F280" s="1101">
        <v>1.0139165831919186</v>
      </c>
      <c r="G280" s="1101">
        <v>0.99144101634468496</v>
      </c>
      <c r="H280" s="1101">
        <v>0.99576009232298923</v>
      </c>
      <c r="I280" s="1101">
        <v>0.96246074370645374</v>
      </c>
      <c r="K280">
        <v>1.3296309278602199</v>
      </c>
      <c r="L280">
        <v>0</v>
      </c>
      <c r="M280">
        <v>6.220715923632255E-4</v>
      </c>
      <c r="N280">
        <v>5.5375162036529653E-2</v>
      </c>
      <c r="O280">
        <v>7.8878309156088355E-3</v>
      </c>
      <c r="P280">
        <v>1.6289304385185683E-2</v>
      </c>
      <c r="Q280">
        <v>4.5177080867212183E-4</v>
      </c>
      <c r="R280">
        <v>6.2022815039392118E-4</v>
      </c>
      <c r="S280">
        <v>5.9171692075097058E-2</v>
      </c>
      <c r="T280">
        <v>1.0470716730536396</v>
      </c>
      <c r="U280">
        <v>0</v>
      </c>
      <c r="V280">
        <v>9.7646008847949911E-2</v>
      </c>
      <c r="W280">
        <v>3.6611533539572069E-2</v>
      </c>
      <c r="X280">
        <v>7.4397390727174838E-3</v>
      </c>
      <c r="Y280">
        <v>1.6880565672174259E-3</v>
      </c>
    </row>
    <row r="281" spans="1:25" x14ac:dyDescent="0.25">
      <c r="A281" s="1096"/>
      <c r="B281" s="1455">
        <v>31</v>
      </c>
      <c r="C281" s="1101">
        <v>1.0142526821793432</v>
      </c>
      <c r="D281" s="1101">
        <v>1.010727169226574</v>
      </c>
      <c r="E281" s="1101">
        <v>0.95963198854319476</v>
      </c>
      <c r="F281" s="1101">
        <v>0.9891854970050703</v>
      </c>
      <c r="G281" s="1101">
        <v>1.0004112549521771</v>
      </c>
      <c r="H281" s="1101">
        <v>1.0211790764449724</v>
      </c>
      <c r="I281" s="1101">
        <v>0.97163085746920774</v>
      </c>
      <c r="K281">
        <v>1.2994614574803629</v>
      </c>
      <c r="L281">
        <v>0</v>
      </c>
      <c r="M281">
        <v>6.5500060605771734E-4</v>
      </c>
      <c r="N281">
        <v>5.3308048929743723E-2</v>
      </c>
      <c r="O281">
        <v>7.6105822405617609E-3</v>
      </c>
      <c r="P281">
        <v>1.5583021417573171E-2</v>
      </c>
      <c r="Q281">
        <v>4.2291867466486298E-4</v>
      </c>
      <c r="R281">
        <v>6.5310789808080026E-4</v>
      </c>
      <c r="S281">
        <v>5.827310584892266E-2</v>
      </c>
      <c r="T281">
        <v>1.0224268045094822</v>
      </c>
      <c r="U281">
        <v>0</v>
      </c>
      <c r="V281">
        <v>9.7346480508926247E-2</v>
      </c>
      <c r="W281">
        <v>3.5884038937198937E-2</v>
      </c>
      <c r="X281">
        <v>6.8308047196499067E-3</v>
      </c>
      <c r="Y281">
        <v>1.7775444016151977E-3</v>
      </c>
    </row>
    <row r="282" spans="1:25" x14ac:dyDescent="0.25">
      <c r="A282" s="1096"/>
      <c r="B282" s="1455">
        <v>32</v>
      </c>
      <c r="C282" s="1100">
        <v>1.0052525501210987</v>
      </c>
      <c r="D282" s="1100">
        <v>0.97841749946169665</v>
      </c>
      <c r="E282" s="1100">
        <v>1.0067506493529519</v>
      </c>
      <c r="F282" s="1100">
        <v>0.99897271332889459</v>
      </c>
      <c r="G282" s="1100">
        <v>0.99223665179364717</v>
      </c>
      <c r="H282" s="1100">
        <v>1.0196771953376409</v>
      </c>
      <c r="I282" s="1100">
        <v>0.98839975806456626</v>
      </c>
      <c r="K282">
        <v>1.3171658656543579</v>
      </c>
      <c r="L282">
        <v>0</v>
      </c>
      <c r="M282">
        <v>6.0643292630873334E-4</v>
      </c>
      <c r="N282">
        <v>5.6915787825121453E-2</v>
      </c>
      <c r="O282">
        <v>7.790736150641E-3</v>
      </c>
      <c r="P282">
        <v>1.6302215655198668E-2</v>
      </c>
      <c r="Q282">
        <v>4.5413021412457958E-4</v>
      </c>
      <c r="R282">
        <v>6.0467797979401434E-4</v>
      </c>
      <c r="S282">
        <v>6.0858988731661762E-2</v>
      </c>
      <c r="T282">
        <v>1.0311181987294051</v>
      </c>
      <c r="U282">
        <v>0</v>
      </c>
      <c r="V282">
        <v>9.7221748426876767E-2</v>
      </c>
      <c r="W282">
        <v>3.7240485361063405E-2</v>
      </c>
      <c r="X282">
        <v>7.6195953778219472E-3</v>
      </c>
      <c r="Y282">
        <v>1.6457341289568398E-3</v>
      </c>
    </row>
    <row r="283" spans="1:25" x14ac:dyDescent="0.25">
      <c r="A283" s="1096"/>
      <c r="B283" s="1455">
        <v>33</v>
      </c>
      <c r="C283" s="1100">
        <v>1.0172362092416591</v>
      </c>
      <c r="D283" s="1100">
        <v>1.0012265385108277</v>
      </c>
      <c r="E283" s="1100">
        <v>0.98829899898356877</v>
      </c>
      <c r="F283" s="1100">
        <v>0.97742825362576347</v>
      </c>
      <c r="G283" s="1100">
        <v>1.0355213886421979</v>
      </c>
      <c r="H283" s="1100">
        <v>0.97085901711010147</v>
      </c>
      <c r="I283" s="1100">
        <v>0.97850499151928227</v>
      </c>
      <c r="K283">
        <v>1.2849991264745815</v>
      </c>
      <c r="L283">
        <v>0</v>
      </c>
      <c r="M283">
        <v>5.874112505914221E-4</v>
      </c>
      <c r="N283">
        <v>5.2133164812984231E-2</v>
      </c>
      <c r="O283">
        <v>7.6238661657115772E-3</v>
      </c>
      <c r="P283">
        <v>1.5762243901127845E-2</v>
      </c>
      <c r="Q283">
        <v>4.3622556457097308E-4</v>
      </c>
      <c r="R283">
        <v>5.8562587369710511E-4</v>
      </c>
      <c r="S283">
        <v>5.7359564775454217E-2</v>
      </c>
      <c r="T283">
        <v>1.009418620910425</v>
      </c>
      <c r="U283">
        <v>0</v>
      </c>
      <c r="V283">
        <v>9.9004705480048014E-2</v>
      </c>
      <c r="W283">
        <v>3.4488062599539848E-2</v>
      </c>
      <c r="X283">
        <v>7.180577064928661E-3</v>
      </c>
      <c r="Y283">
        <v>1.5938805766861398E-3</v>
      </c>
    </row>
    <row r="284" spans="1:25" x14ac:dyDescent="0.25">
      <c r="A284" s="1096"/>
      <c r="B284" s="1455">
        <v>34</v>
      </c>
      <c r="C284" s="1100">
        <v>1.0084072311083425</v>
      </c>
      <c r="D284" s="1100">
        <v>0.98346174315084989</v>
      </c>
      <c r="E284" s="1100">
        <v>0.97361558960664207</v>
      </c>
      <c r="F284" s="1100">
        <v>1.0145589823241317</v>
      </c>
      <c r="G284" s="1100">
        <v>0.97001363973031729</v>
      </c>
      <c r="H284" s="1100">
        <v>1.0005739535854414</v>
      </c>
      <c r="I284" s="1100">
        <v>0.99762246751051653</v>
      </c>
      <c r="K284">
        <v>1.3276494890668522</v>
      </c>
      <c r="L284">
        <v>0</v>
      </c>
      <c r="M284">
        <v>6.3404370841792929E-4</v>
      </c>
      <c r="N284">
        <v>5.3831601373660679E-2</v>
      </c>
      <c r="O284">
        <v>7.7422982845185631E-3</v>
      </c>
      <c r="P284">
        <v>1.6107903872480483E-2</v>
      </c>
      <c r="Q284">
        <v>4.3644314986050005E-4</v>
      </c>
      <c r="R284">
        <v>6.3217382804794887E-4</v>
      </c>
      <c r="S284">
        <v>6.0453013503328518E-2</v>
      </c>
      <c r="T284">
        <v>1.0482164991387093</v>
      </c>
      <c r="U284">
        <v>0</v>
      </c>
      <c r="V284">
        <v>9.6033085591893774E-2</v>
      </c>
      <c r="W284">
        <v>3.5928546624140967E-2</v>
      </c>
      <c r="X284">
        <v>7.1813986447296458E-3</v>
      </c>
      <c r="Y284">
        <v>1.7205687639001088E-3</v>
      </c>
    </row>
    <row r="285" spans="1:25" x14ac:dyDescent="0.25">
      <c r="A285" s="1096"/>
      <c r="B285" s="1455">
        <v>35</v>
      </c>
      <c r="C285" s="1100">
        <v>0.99126372088088188</v>
      </c>
      <c r="D285" s="1100">
        <v>0.97775168307478577</v>
      </c>
      <c r="E285" s="1100">
        <v>1.0397913380388544</v>
      </c>
      <c r="F285" s="1100">
        <v>1.0313862208871849</v>
      </c>
      <c r="G285" s="1100">
        <v>1.01341948879206</v>
      </c>
      <c r="H285" s="1100">
        <v>1.0244299940563637</v>
      </c>
      <c r="I285" s="1100">
        <v>0.98610712459077643</v>
      </c>
      <c r="K285">
        <v>1.3576894371702786</v>
      </c>
      <c r="L285">
        <v>0</v>
      </c>
      <c r="M285">
        <v>5.7694698593915535E-4</v>
      </c>
      <c r="N285">
        <v>5.9823301529177676E-2</v>
      </c>
      <c r="O285">
        <v>7.9111167195217592E-3</v>
      </c>
      <c r="P285">
        <v>1.7189252559345072E-2</v>
      </c>
      <c r="Q285">
        <v>4.765184247964021E-4</v>
      </c>
      <c r="R285">
        <v>5.7528511443301626E-4</v>
      </c>
      <c r="S285">
        <v>6.1775839982788447E-2</v>
      </c>
      <c r="T285">
        <v>1.0635839305438055</v>
      </c>
      <c r="U285">
        <v>0</v>
      </c>
      <c r="V285">
        <v>9.8631975666475913E-2</v>
      </c>
      <c r="W285">
        <v>3.8395388287045508E-2</v>
      </c>
      <c r="X285">
        <v>8.338038890029072E-3</v>
      </c>
      <c r="Y285">
        <v>1.5657364387996647E-3</v>
      </c>
    </row>
    <row r="286" spans="1:25" x14ac:dyDescent="0.25">
      <c r="A286" s="1096"/>
      <c r="B286" s="1455">
        <v>36</v>
      </c>
      <c r="C286" s="1100">
        <v>1.0178083275680114</v>
      </c>
      <c r="D286" s="1100">
        <v>0.9852357146049282</v>
      </c>
      <c r="E286" s="1100">
        <v>0.9920353667828623</v>
      </c>
      <c r="F286" s="1100">
        <v>0.96388192917905935</v>
      </c>
      <c r="G286" s="1100">
        <v>0.99991820182603697</v>
      </c>
      <c r="H286" s="1100">
        <v>0.96802834586558872</v>
      </c>
      <c r="I286" s="1100">
        <v>0.96630877540402138</v>
      </c>
      <c r="K286">
        <v>1.2691791317105934</v>
      </c>
      <c r="L286">
        <v>0</v>
      </c>
      <c r="M286">
        <v>5.846097914923758E-4</v>
      </c>
      <c r="N286">
        <v>5.2473503788953546E-2</v>
      </c>
      <c r="O286">
        <v>7.6697147325988793E-3</v>
      </c>
      <c r="P286">
        <v>1.5587491847778974E-2</v>
      </c>
      <c r="Q286">
        <v>4.4050927995009534E-4</v>
      </c>
      <c r="R286">
        <v>5.8282773351682308E-4</v>
      </c>
      <c r="S286">
        <v>5.7026713014182426E-2</v>
      </c>
      <c r="T286">
        <v>0.99532068392681916</v>
      </c>
      <c r="U286">
        <v>0</v>
      </c>
      <c r="V286">
        <v>9.7272901636358544E-2</v>
      </c>
      <c r="W286">
        <v>3.4635607848635418E-2</v>
      </c>
      <c r="X286">
        <v>7.1675227317691791E-3</v>
      </c>
      <c r="Y286">
        <v>1.5862649615220742E-3</v>
      </c>
    </row>
    <row r="287" spans="1:25" x14ac:dyDescent="0.25">
      <c r="A287" s="1096"/>
      <c r="B287" s="1455">
        <v>37</v>
      </c>
      <c r="C287" s="1100">
        <v>1.0185644963268812</v>
      </c>
      <c r="D287" s="1100">
        <v>1.0206470887310399</v>
      </c>
      <c r="E287" s="1100">
        <v>1.0280008002925778</v>
      </c>
      <c r="F287" s="1100">
        <v>1.02796955600384</v>
      </c>
      <c r="G287" s="1100">
        <v>1.0063510767639294</v>
      </c>
      <c r="H287" s="1100">
        <v>1.0150187634575869</v>
      </c>
      <c r="I287" s="1100">
        <v>1.0010940947391351</v>
      </c>
      <c r="K287">
        <v>1.3441980539684082</v>
      </c>
      <c r="L287">
        <v>0</v>
      </c>
      <c r="M287">
        <v>5.6046157461513894E-4</v>
      </c>
      <c r="N287">
        <v>5.6083713987856811E-2</v>
      </c>
      <c r="O287">
        <v>7.5651417466447522E-3</v>
      </c>
      <c r="P287">
        <v>1.6950953057170533E-2</v>
      </c>
      <c r="Q287">
        <v>4.5040903724885599E-4</v>
      </c>
      <c r="R287">
        <v>5.5883222009279717E-4</v>
      </c>
      <c r="S287">
        <v>5.9356811596825813E-2</v>
      </c>
      <c r="T287">
        <v>1.0604091901975716</v>
      </c>
      <c r="U287">
        <v>0</v>
      </c>
      <c r="V287">
        <v>9.7606118368727485E-2</v>
      </c>
      <c r="W287">
        <v>3.6241716626189975E-2</v>
      </c>
      <c r="X287">
        <v>8.014671620593555E-3</v>
      </c>
      <c r="Y287">
        <v>1.5209570841007503E-3</v>
      </c>
    </row>
    <row r="288" spans="1:25" x14ac:dyDescent="0.25">
      <c r="A288" s="1096"/>
      <c r="B288" s="1455">
        <v>38</v>
      </c>
      <c r="C288" s="1100">
        <v>1.0137596215056031</v>
      </c>
      <c r="D288" s="1100">
        <v>0.97640088819919735</v>
      </c>
      <c r="E288" s="1100">
        <v>1.0291288082296779</v>
      </c>
      <c r="F288" s="1100">
        <v>1.0121965206439474</v>
      </c>
      <c r="G288" s="1100">
        <v>1.0161419015534057</v>
      </c>
      <c r="H288" s="1100">
        <v>0.96994200292535748</v>
      </c>
      <c r="I288" s="1100">
        <v>1.0318460989273792</v>
      </c>
      <c r="K288">
        <v>1.3285630683204528</v>
      </c>
      <c r="L288">
        <v>0</v>
      </c>
      <c r="M288">
        <v>5.4644877624018655E-4</v>
      </c>
      <c r="N288">
        <v>5.4860339022319515E-2</v>
      </c>
      <c r="O288">
        <v>7.7372233633798615E-3</v>
      </c>
      <c r="P288">
        <v>1.6776238101500852E-2</v>
      </c>
      <c r="Q288">
        <v>4.6116877227267742E-4</v>
      </c>
      <c r="R288">
        <v>5.4478633038548027E-4</v>
      </c>
      <c r="S288">
        <v>6.1532114935649765E-2</v>
      </c>
      <c r="T288">
        <v>1.0441053879667608</v>
      </c>
      <c r="U288">
        <v>0</v>
      </c>
      <c r="V288">
        <v>9.8196503484804756E-2</v>
      </c>
      <c r="W288">
        <v>3.5427931249852815E-2</v>
      </c>
      <c r="X288">
        <v>7.9850950672214621E-3</v>
      </c>
      <c r="Y288">
        <v>1.4827288025437311E-3</v>
      </c>
    </row>
    <row r="289" spans="1:25" x14ac:dyDescent="0.25">
      <c r="A289" s="1096"/>
      <c r="B289" s="1455">
        <v>39</v>
      </c>
      <c r="C289" s="1100">
        <v>1.0293704625878457</v>
      </c>
      <c r="D289" s="1100">
        <v>0.98903133442540336</v>
      </c>
      <c r="E289" s="1100">
        <v>1.022268487653383</v>
      </c>
      <c r="F289" s="1100">
        <v>0.9909316377353522</v>
      </c>
      <c r="G289" s="1100">
        <v>1.0200138928743683</v>
      </c>
      <c r="H289" s="1100">
        <v>1.0065793672053818</v>
      </c>
      <c r="I289" s="1100">
        <v>1.0005148830033812</v>
      </c>
      <c r="K289">
        <v>1.3048454007397019</v>
      </c>
      <c r="L289">
        <v>0</v>
      </c>
      <c r="M289">
        <v>5.6362036711270463E-4</v>
      </c>
      <c r="N289">
        <v>5.5431865361223853E-2</v>
      </c>
      <c r="O289">
        <v>7.5791613449745325E-3</v>
      </c>
      <c r="P289">
        <v>1.635943465167387E-2</v>
      </c>
      <c r="Q289">
        <v>4.4868672843238153E-4</v>
      </c>
      <c r="R289">
        <v>5.6196809157599704E-4</v>
      </c>
      <c r="S289">
        <v>5.9439388018310231E-2</v>
      </c>
      <c r="T289">
        <v>1.0223673040934991</v>
      </c>
      <c r="U289">
        <v>0</v>
      </c>
      <c r="V289">
        <v>9.800523853088966E-2</v>
      </c>
      <c r="W289">
        <v>3.5940334980436306E-2</v>
      </c>
      <c r="X289">
        <v>7.7461474132607851E-3</v>
      </c>
      <c r="Y289">
        <v>1.529491892538264E-3</v>
      </c>
    </row>
    <row r="290" spans="1:25" x14ac:dyDescent="0.25">
      <c r="A290" s="1096"/>
      <c r="B290" s="1455">
        <v>40</v>
      </c>
      <c r="C290" s="1100">
        <v>0.97497857855047743</v>
      </c>
      <c r="D290" s="1100">
        <v>1.0165752669859933</v>
      </c>
      <c r="E290" s="1100">
        <v>0.99360793068796249</v>
      </c>
      <c r="F290" s="1100">
        <v>1.0030230838387895</v>
      </c>
      <c r="G290" s="1100">
        <v>0.99797511468776734</v>
      </c>
      <c r="H290" s="1100">
        <v>1.0054802459881835</v>
      </c>
      <c r="I290" s="1100">
        <v>0.98040701399064611</v>
      </c>
      <c r="K290">
        <v>1.3216057559061574</v>
      </c>
      <c r="L290">
        <v>0</v>
      </c>
      <c r="M290">
        <v>6.2397565843573782E-4</v>
      </c>
      <c r="N290">
        <v>5.6280186876264668E-2</v>
      </c>
      <c r="O290">
        <v>7.9073681532973884E-3</v>
      </c>
      <c r="P290">
        <v>1.6214801616121485E-2</v>
      </c>
      <c r="Q290">
        <v>4.5488020551284069E-4</v>
      </c>
      <c r="R290">
        <v>6.2214444939570721E-4</v>
      </c>
      <c r="S290">
        <v>6.0534152993826494E-2</v>
      </c>
      <c r="T290">
        <v>1.0356912114792776</v>
      </c>
      <c r="U290">
        <v>0</v>
      </c>
      <c r="V290">
        <v>9.8250170609928578E-2</v>
      </c>
      <c r="W290">
        <v>3.711334171932032E-2</v>
      </c>
      <c r="X290">
        <v>7.4682013602559091E-3</v>
      </c>
      <c r="Y290">
        <v>1.6932721013924908E-3</v>
      </c>
    </row>
    <row r="291" spans="1:25" x14ac:dyDescent="0.25">
      <c r="A291" s="1096"/>
      <c r="B291" s="1455">
        <v>41</v>
      </c>
      <c r="C291" s="1100">
        <v>0.97847450084583776</v>
      </c>
      <c r="D291" s="1100">
        <v>1.017471795888137</v>
      </c>
      <c r="E291" s="1100">
        <v>0.96387705886806996</v>
      </c>
      <c r="F291" s="1100">
        <v>0.98889836540722276</v>
      </c>
      <c r="G291" s="1100">
        <v>0.96166791172503474</v>
      </c>
      <c r="H291" s="1100">
        <v>1.036908625714053</v>
      </c>
      <c r="I291" s="1100">
        <v>1.0057236553082025</v>
      </c>
      <c r="K291">
        <v>1.3078741306099635</v>
      </c>
      <c r="L291">
        <v>0</v>
      </c>
      <c r="M291">
        <v>6.81585908151085E-4</v>
      </c>
      <c r="N291">
        <v>5.6192249244002408E-2</v>
      </c>
      <c r="O291">
        <v>7.8689569316192087E-3</v>
      </c>
      <c r="P291">
        <v>1.5675638695760372E-2</v>
      </c>
      <c r="Q291">
        <v>4.3918667674317614E-4</v>
      </c>
      <c r="R291">
        <v>6.7964625563610528E-4</v>
      </c>
      <c r="S291">
        <v>6.2795702971999337E-2</v>
      </c>
      <c r="T291">
        <v>1.0220002621301474</v>
      </c>
      <c r="U291">
        <v>0</v>
      </c>
      <c r="V291">
        <v>9.6370217299884445E-2</v>
      </c>
      <c r="W291">
        <v>3.7727279235324956E-2</v>
      </c>
      <c r="X291">
        <v>6.9568040144831044E-3</v>
      </c>
      <c r="Y291">
        <v>1.8497730625135218E-3</v>
      </c>
    </row>
    <row r="292" spans="1:25" x14ac:dyDescent="0.25">
      <c r="A292" s="1096"/>
      <c r="B292" s="1455">
        <v>42</v>
      </c>
      <c r="C292" s="1100">
        <v>0.98588757036662955</v>
      </c>
      <c r="D292" s="1100">
        <v>0.98293497204057445</v>
      </c>
      <c r="E292" s="1100">
        <v>1.0221983077854109</v>
      </c>
      <c r="F292" s="1100">
        <v>1.0258572451715713</v>
      </c>
      <c r="G292" s="1100">
        <v>0.98343763825425412</v>
      </c>
      <c r="H292" s="1100">
        <v>1.0250408984772037</v>
      </c>
      <c r="I292" s="1100">
        <v>1.0218664844477308</v>
      </c>
      <c r="K292">
        <v>1.3522695885688607</v>
      </c>
      <c r="L292">
        <v>0</v>
      </c>
      <c r="M292">
        <v>6.0084396314518415E-4</v>
      </c>
      <c r="N292">
        <v>5.9083413893539341E-2</v>
      </c>
      <c r="O292">
        <v>7.9330209720304429E-3</v>
      </c>
      <c r="P292">
        <v>1.6914220086887158E-2</v>
      </c>
      <c r="Q292">
        <v>4.6960251139962231E-4</v>
      </c>
      <c r="R292">
        <v>5.9911428886908836E-4</v>
      </c>
      <c r="S292">
        <v>6.4184408785063526E-2</v>
      </c>
      <c r="T292">
        <v>1.0584029640177208</v>
      </c>
      <c r="U292">
        <v>0</v>
      </c>
      <c r="V292">
        <v>9.7297702751739976E-2</v>
      </c>
      <c r="W292">
        <v>3.830945810474843E-2</v>
      </c>
      <c r="X292">
        <v>8.0459355236759868E-3</v>
      </c>
      <c r="Y292">
        <v>1.6305915963294119E-3</v>
      </c>
    </row>
    <row r="293" spans="1:25" x14ac:dyDescent="0.25">
      <c r="A293" s="1096"/>
      <c r="B293" s="1455">
        <v>43</v>
      </c>
      <c r="C293" s="1100">
        <v>1.0192300452158654</v>
      </c>
      <c r="D293" s="1100">
        <v>0.95275104444358216</v>
      </c>
      <c r="E293" s="1100">
        <v>1.0035015251873172</v>
      </c>
      <c r="F293" s="1100">
        <v>0.99433333373921828</v>
      </c>
      <c r="G293" s="1100">
        <v>0.98245415959318461</v>
      </c>
      <c r="H293" s="1100">
        <v>0.97304992011792379</v>
      </c>
      <c r="I293" s="1100">
        <v>0.95866323609705673</v>
      </c>
      <c r="K293">
        <v>1.3033026771800187</v>
      </c>
      <c r="L293">
        <v>0</v>
      </c>
      <c r="M293">
        <v>5.8077162740002538E-4</v>
      </c>
      <c r="N293">
        <v>5.3967637247727483E-2</v>
      </c>
      <c r="O293">
        <v>7.7652370726929579E-3</v>
      </c>
      <c r="P293">
        <v>1.6144180513684849E-2</v>
      </c>
      <c r="Q293">
        <v>4.511721157125119E-4</v>
      </c>
      <c r="R293">
        <v>5.7901040545362209E-4</v>
      </c>
      <c r="S293">
        <v>5.7685491550435092E-2</v>
      </c>
      <c r="T293">
        <v>1.0264252000243084</v>
      </c>
      <c r="U293">
        <v>0</v>
      </c>
      <c r="V293">
        <v>9.6406762500031384E-2</v>
      </c>
      <c r="W293">
        <v>3.5379465467181535E-2</v>
      </c>
      <c r="X293">
        <v>7.5034164572745027E-3</v>
      </c>
      <c r="Y293">
        <v>1.5758754529158992E-3</v>
      </c>
    </row>
    <row r="294" spans="1:25" x14ac:dyDescent="0.25">
      <c r="A294" s="1096"/>
      <c r="B294" s="1455">
        <v>44</v>
      </c>
      <c r="C294" s="1100">
        <v>0.9566016243501515</v>
      </c>
      <c r="D294" s="1100">
        <v>0.95798125580948801</v>
      </c>
      <c r="E294" s="1100">
        <v>0.97042844988580246</v>
      </c>
      <c r="F294" s="1100">
        <v>0.99810350953588167</v>
      </c>
      <c r="G294" s="1100">
        <v>0.95416656517629861</v>
      </c>
      <c r="H294" s="1100">
        <v>1.0103466739659661</v>
      </c>
      <c r="I294" s="1100">
        <v>0.98649714933116528</v>
      </c>
      <c r="K294">
        <v>1.3221143379024756</v>
      </c>
      <c r="L294">
        <v>0</v>
      </c>
      <c r="M294">
        <v>6.8653694960697049E-4</v>
      </c>
      <c r="N294">
        <v>5.7730323973492217E-2</v>
      </c>
      <c r="O294">
        <v>8.2469109619382596E-3</v>
      </c>
      <c r="P294">
        <v>1.5900974024837904E-2</v>
      </c>
      <c r="Q294">
        <v>4.633785940006762E-4</v>
      </c>
      <c r="R294">
        <v>6.8453184369132367E-4</v>
      </c>
      <c r="S294">
        <v>6.4220762732161832E-2</v>
      </c>
      <c r="T294">
        <v>1.031312471936225</v>
      </c>
      <c r="U294">
        <v>0</v>
      </c>
      <c r="V294">
        <v>9.6593442787244868E-2</v>
      </c>
      <c r="W294">
        <v>3.8605344987772933E-2</v>
      </c>
      <c r="X294">
        <v>7.1796629880508502E-3</v>
      </c>
      <c r="Y294">
        <v>1.8630700226661562E-3</v>
      </c>
    </row>
    <row r="295" spans="1:25" x14ac:dyDescent="0.25">
      <c r="A295" s="1096"/>
      <c r="B295" s="1455">
        <v>45</v>
      </c>
      <c r="C295" s="1100">
        <v>1.0162570760597525</v>
      </c>
      <c r="D295" s="1100">
        <v>0.99341801052291501</v>
      </c>
      <c r="E295" s="1100">
        <v>1.0046532150301541</v>
      </c>
      <c r="F295" s="1100">
        <v>0.99673039958917942</v>
      </c>
      <c r="G295" s="1100">
        <v>1.023281365098053</v>
      </c>
      <c r="H295" s="1100">
        <v>0.98637571109000499</v>
      </c>
      <c r="I295" s="1100">
        <v>1.0079407189501275</v>
      </c>
      <c r="K295">
        <v>1.3100606019655126</v>
      </c>
      <c r="L295">
        <v>0</v>
      </c>
      <c r="M295">
        <v>5.7927137784437419E-4</v>
      </c>
      <c r="N295">
        <v>5.4018013186086178E-2</v>
      </c>
      <c r="O295">
        <v>7.6591070926271005E-3</v>
      </c>
      <c r="P295">
        <v>1.6249479143977057E-2</v>
      </c>
      <c r="Q295">
        <v>4.4552010144281457E-4</v>
      </c>
      <c r="R295">
        <v>5.7753843787288817E-4</v>
      </c>
      <c r="S295">
        <v>5.9878724325607827E-2</v>
      </c>
      <c r="T295">
        <v>1.0288656019063678</v>
      </c>
      <c r="U295">
        <v>0</v>
      </c>
      <c r="V295">
        <v>9.8454325722557315E-2</v>
      </c>
      <c r="W295">
        <v>3.5388336543050673E-2</v>
      </c>
      <c r="X295">
        <v>7.5313576413701027E-3</v>
      </c>
      <c r="Y295">
        <v>1.5718692423951244E-3</v>
      </c>
    </row>
    <row r="296" spans="1:25" x14ac:dyDescent="0.25">
      <c r="A296" s="1096"/>
      <c r="B296" s="1455">
        <v>46</v>
      </c>
      <c r="C296" s="1100">
        <v>0.98877492112346765</v>
      </c>
      <c r="D296" s="1100">
        <v>1.0053217806972925</v>
      </c>
      <c r="E296" s="1100">
        <v>1.0094177272651592</v>
      </c>
      <c r="F296" s="1100">
        <v>0.98103147412612457</v>
      </c>
      <c r="G296" s="1100">
        <v>1.0354158948406553</v>
      </c>
      <c r="H296" s="1100">
        <v>0.96260133529313807</v>
      </c>
      <c r="I296" s="1100">
        <v>0.96703404486560485</v>
      </c>
      <c r="K296">
        <v>1.2932306112270382</v>
      </c>
      <c r="L296">
        <v>0</v>
      </c>
      <c r="M296">
        <v>5.725669200881689E-4</v>
      </c>
      <c r="N296">
        <v>5.4162521920852254E-2</v>
      </c>
      <c r="O296">
        <v>7.835749675290795E-3</v>
      </c>
      <c r="P296">
        <v>1.6073660926860488E-2</v>
      </c>
      <c r="Q296">
        <v>4.5797477573527061E-4</v>
      </c>
      <c r="R296">
        <v>5.7081173220658254E-4</v>
      </c>
      <c r="S296">
        <v>5.7964548053156227E-2</v>
      </c>
      <c r="T296">
        <v>1.012522386145833</v>
      </c>
      <c r="U296">
        <v>0</v>
      </c>
      <c r="V296">
        <v>9.9724633327170825E-2</v>
      </c>
      <c r="W296">
        <v>3.538322436870308E-2</v>
      </c>
      <c r="X296">
        <v>7.5541058542867639E-3</v>
      </c>
      <c r="Y296">
        <v>1.5535613670293669E-3</v>
      </c>
    </row>
    <row r="297" spans="1:25" x14ac:dyDescent="0.25">
      <c r="A297" s="1096"/>
      <c r="B297" s="1455">
        <v>47</v>
      </c>
      <c r="C297" s="1100">
        <v>1.023143270674113</v>
      </c>
      <c r="D297" s="1100">
        <v>0.9946871735116094</v>
      </c>
      <c r="E297" s="1100">
        <v>1.0055662675064097</v>
      </c>
      <c r="F297" s="1100">
        <v>1.0303600600609848</v>
      </c>
      <c r="G297" s="1100">
        <v>0.99133327004923077</v>
      </c>
      <c r="H297" s="1100">
        <v>1.005636487889364</v>
      </c>
      <c r="I297" s="1100">
        <v>0.99520689616373892</v>
      </c>
      <c r="K297">
        <v>1.3441411790231395</v>
      </c>
      <c r="L297">
        <v>0</v>
      </c>
      <c r="M297">
        <v>5.8519805768241526E-4</v>
      </c>
      <c r="N297">
        <v>5.4724516631763913E-2</v>
      </c>
      <c r="O297">
        <v>7.6038935010062725E-3</v>
      </c>
      <c r="P297">
        <v>1.6703628761363869E-2</v>
      </c>
      <c r="Q297">
        <v>4.4271338213330678E-4</v>
      </c>
      <c r="R297">
        <v>5.834809178141406E-4</v>
      </c>
      <c r="S297">
        <v>5.9258254277810826E-2</v>
      </c>
      <c r="T297">
        <v>1.0635516443014554</v>
      </c>
      <c r="U297">
        <v>0</v>
      </c>
      <c r="V297">
        <v>9.6745595628518394E-2</v>
      </c>
      <c r="W297">
        <v>3.5831810027632548E-2</v>
      </c>
      <c r="X297">
        <v>7.692796937465181E-3</v>
      </c>
      <c r="Y297">
        <v>1.5880427138572272E-3</v>
      </c>
    </row>
    <row r="298" spans="1:25" x14ac:dyDescent="0.25">
      <c r="A298" s="1096"/>
      <c r="B298" s="1455">
        <v>48</v>
      </c>
      <c r="C298" s="1100">
        <v>1.0112084301128104</v>
      </c>
      <c r="D298" s="1100">
        <v>0.99944432736557198</v>
      </c>
      <c r="E298" s="1100">
        <v>1.0265319280692466</v>
      </c>
      <c r="F298" s="1100">
        <v>0.99574648698630086</v>
      </c>
      <c r="G298" s="1100">
        <v>0.98556209395252004</v>
      </c>
      <c r="H298" s="1100">
        <v>0.98909785881527734</v>
      </c>
      <c r="I298" s="1100">
        <v>1.0334302460813558</v>
      </c>
      <c r="K298">
        <v>1.3108742449996811</v>
      </c>
      <c r="L298">
        <v>0</v>
      </c>
      <c r="M298">
        <v>5.5646061854631209E-4</v>
      </c>
      <c r="N298">
        <v>5.5433043153147704E-2</v>
      </c>
      <c r="O298">
        <v>7.6840729534768931E-3</v>
      </c>
      <c r="P298">
        <v>1.6490851724742208E-2</v>
      </c>
      <c r="Q298">
        <v>4.5682498331505784E-4</v>
      </c>
      <c r="R298">
        <v>5.5480050042273443E-4</v>
      </c>
      <c r="S298">
        <v>6.1606044397110982E-2</v>
      </c>
      <c r="T298">
        <v>1.0272116096154447</v>
      </c>
      <c r="U298">
        <v>0</v>
      </c>
      <c r="V298">
        <v>9.6775658115485927E-2</v>
      </c>
      <c r="W298">
        <v>3.58518697301244E-2</v>
      </c>
      <c r="X298">
        <v>7.8559463727428946E-3</v>
      </c>
      <c r="Y298">
        <v>1.5099840722148715E-3</v>
      </c>
    </row>
    <row r="299" spans="1:25" x14ac:dyDescent="0.25">
      <c r="A299" s="1096"/>
      <c r="B299" s="1455">
        <v>49</v>
      </c>
      <c r="C299" s="1100">
        <v>1.0038496562268444</v>
      </c>
      <c r="D299" s="1100">
        <v>1.0294989212148011</v>
      </c>
      <c r="E299" s="1100">
        <v>1.0037713879648407</v>
      </c>
      <c r="F299" s="1100">
        <v>1.014477225847801</v>
      </c>
      <c r="G299" s="1100">
        <v>0.9902517091639188</v>
      </c>
      <c r="H299" s="1100">
        <v>0.99024722431959156</v>
      </c>
      <c r="I299" s="1100">
        <v>0.97625641750090053</v>
      </c>
      <c r="K299">
        <v>1.3252972819589086</v>
      </c>
      <c r="L299">
        <v>0</v>
      </c>
      <c r="M299">
        <v>5.8145433994226631E-4</v>
      </c>
      <c r="N299">
        <v>5.40779926583606E-2</v>
      </c>
      <c r="O299">
        <v>7.6436956326656992E-3</v>
      </c>
      <c r="P299">
        <v>1.6442343773348737E-2</v>
      </c>
      <c r="Q299">
        <v>4.4423061645484918E-4</v>
      </c>
      <c r="R299">
        <v>5.7972167016138109E-4</v>
      </c>
      <c r="S299">
        <v>5.7712076682544036E-2</v>
      </c>
      <c r="T299">
        <v>1.0472111122182464</v>
      </c>
      <c r="U299">
        <v>0</v>
      </c>
      <c r="V299">
        <v>9.7156858401948279E-2</v>
      </c>
      <c r="W299">
        <v>3.5446141536417723E-2</v>
      </c>
      <c r="X299">
        <v>7.5867518277191164E-3</v>
      </c>
      <c r="Y299">
        <v>1.5778112809820711E-3</v>
      </c>
    </row>
    <row r="300" spans="1:25" x14ac:dyDescent="0.25">
      <c r="A300" s="1096"/>
      <c r="B300" s="1455">
        <v>50</v>
      </c>
      <c r="C300" s="1100">
        <v>1.020811613377494</v>
      </c>
      <c r="D300" s="1100">
        <v>0.98720613234286603</v>
      </c>
      <c r="E300" s="1100">
        <v>0.99304876580383317</v>
      </c>
      <c r="F300" s="1100">
        <v>1.0006420300869552</v>
      </c>
      <c r="G300" s="1100">
        <v>0.9819246034545086</v>
      </c>
      <c r="H300" s="1100">
        <v>0.98477245247307699</v>
      </c>
      <c r="I300" s="1100">
        <v>0.99411622404905398</v>
      </c>
      <c r="K300">
        <v>1.3100416414347045</v>
      </c>
      <c r="L300">
        <v>0</v>
      </c>
      <c r="M300">
        <v>5.9125571494861621E-4</v>
      </c>
      <c r="N300">
        <v>5.323561985790954E-2</v>
      </c>
      <c r="O300">
        <v>7.6412856552244323E-3</v>
      </c>
      <c r="P300">
        <v>1.612709643826564E-2</v>
      </c>
      <c r="Q300">
        <v>4.3932559995534323E-4</v>
      </c>
      <c r="R300">
        <v>5.8948404312386682E-4</v>
      </c>
      <c r="S300">
        <v>5.8933591399171814E-2</v>
      </c>
      <c r="T300">
        <v>1.0332493732215156</v>
      </c>
      <c r="U300">
        <v>0</v>
      </c>
      <c r="V300">
        <v>9.6331958888068087E-2</v>
      </c>
      <c r="W300">
        <v>3.5117366461475778E-2</v>
      </c>
      <c r="X300">
        <v>7.3634143429226343E-3</v>
      </c>
      <c r="Y300">
        <v>1.6043812420205754E-3</v>
      </c>
    </row>
    <row r="301" spans="1:25" x14ac:dyDescent="0.25">
      <c r="A301" s="1096"/>
      <c r="B301" s="1455">
        <v>51</v>
      </c>
      <c r="C301" s="1100">
        <v>1.030610160286944</v>
      </c>
      <c r="D301" s="1100">
        <v>1.0130303700191605</v>
      </c>
      <c r="E301" s="1100">
        <v>0.96776662416984505</v>
      </c>
      <c r="F301" s="1100">
        <v>0.98938125943706101</v>
      </c>
      <c r="G301" s="1100">
        <v>0.98797238014136923</v>
      </c>
      <c r="H301" s="1100">
        <v>0.99007009868419771</v>
      </c>
      <c r="I301" s="1100">
        <v>0.99044021727670184</v>
      </c>
      <c r="K301">
        <v>1.293890183398219</v>
      </c>
      <c r="L301">
        <v>0</v>
      </c>
      <c r="M301">
        <v>6.140110122142534E-4</v>
      </c>
      <c r="N301">
        <v>5.1214114215190565E-2</v>
      </c>
      <c r="O301">
        <v>7.4848897473811238E-3</v>
      </c>
      <c r="P301">
        <v>1.5656942243435844E-2</v>
      </c>
      <c r="Q301">
        <v>4.1941884199716818E-4</v>
      </c>
      <c r="R301">
        <v>6.1218099980746071E-4</v>
      </c>
      <c r="S301">
        <v>5.7487219186966566E-2</v>
      </c>
      <c r="T301">
        <v>1.0223808383896791</v>
      </c>
      <c r="U301">
        <v>0</v>
      </c>
      <c r="V301">
        <v>9.6366132893517573E-2</v>
      </c>
      <c r="W301">
        <v>3.4303402830403194E-2</v>
      </c>
      <c r="X301">
        <v>6.9129001859897258E-3</v>
      </c>
      <c r="Y301">
        <v>1.6661548760635581E-3</v>
      </c>
    </row>
    <row r="302" spans="1:25" x14ac:dyDescent="0.25">
      <c r="A302" s="1096"/>
      <c r="B302" s="1455">
        <v>52</v>
      </c>
      <c r="C302" s="1100">
        <v>1.0368887313362325</v>
      </c>
      <c r="D302" s="1100">
        <v>0.9837820231785025</v>
      </c>
      <c r="E302" s="1100">
        <v>0.99948980039461111</v>
      </c>
      <c r="F302" s="1100">
        <v>1.0024783758761713</v>
      </c>
      <c r="G302" s="1100">
        <v>1.0115794394842135</v>
      </c>
      <c r="H302" s="1100">
        <v>0.99841677616604307</v>
      </c>
      <c r="I302" s="1100">
        <v>0.97897157831184067</v>
      </c>
      <c r="K302">
        <v>1.3119352774504456</v>
      </c>
      <c r="L302">
        <v>0</v>
      </c>
      <c r="M302">
        <v>5.831352064826381E-4</v>
      </c>
      <c r="N302">
        <v>5.3538678007053468E-2</v>
      </c>
      <c r="O302">
        <v>7.5348028287060761E-3</v>
      </c>
      <c r="P302">
        <v>1.622521141283732E-2</v>
      </c>
      <c r="Q302">
        <v>4.3602318029112313E-4</v>
      </c>
      <c r="R302">
        <v>5.8141174647131976E-4</v>
      </c>
      <c r="S302">
        <v>5.7644676015664503E-2</v>
      </c>
      <c r="T302">
        <v>1.0349526475293538</v>
      </c>
      <c r="U302">
        <v>0</v>
      </c>
      <c r="V302">
        <v>9.7397223950237019E-2</v>
      </c>
      <c r="W302">
        <v>3.5181940854965281E-2</v>
      </c>
      <c r="X302">
        <v>7.443386019784161E-3</v>
      </c>
      <c r="Y302">
        <v>1.5824111115642183E-3</v>
      </c>
    </row>
    <row r="303" spans="1:25" x14ac:dyDescent="0.25">
      <c r="A303" s="1096"/>
      <c r="B303" s="1455">
        <v>53</v>
      </c>
      <c r="C303" s="1100">
        <v>0.99436378381402657</v>
      </c>
      <c r="D303" s="1100">
        <v>0.9951102640751246</v>
      </c>
      <c r="E303" s="1100">
        <v>0.96937511198227433</v>
      </c>
      <c r="F303" s="1100">
        <v>0.98352478075094518</v>
      </c>
      <c r="G303" s="1100">
        <v>1.0108535311408844</v>
      </c>
      <c r="H303" s="1100">
        <v>1.0320855243890255</v>
      </c>
      <c r="I303" s="1100">
        <v>1.0032072407815646</v>
      </c>
      <c r="K303">
        <v>1.3027882831208242</v>
      </c>
      <c r="L303">
        <v>0</v>
      </c>
      <c r="M303">
        <v>6.6593787571545297E-4</v>
      </c>
      <c r="N303">
        <v>5.5823292134222977E-2</v>
      </c>
      <c r="O303">
        <v>7.8137054105536456E-3</v>
      </c>
      <c r="P303">
        <v>1.5684691947618415E-2</v>
      </c>
      <c r="Q303">
        <v>4.3856514356288025E-4</v>
      </c>
      <c r="R303">
        <v>6.6403389805739198E-4</v>
      </c>
      <c r="S303">
        <v>6.2229707995133325E-2</v>
      </c>
      <c r="T303">
        <v>1.0162804480184902</v>
      </c>
      <c r="U303">
        <v>0</v>
      </c>
      <c r="V303">
        <v>9.8350695770130253E-2</v>
      </c>
      <c r="W303">
        <v>3.7354018931060114E-2</v>
      </c>
      <c r="X303">
        <v>7.0077803759110366E-3</v>
      </c>
      <c r="Y303">
        <v>1.8072813717965571E-3</v>
      </c>
    </row>
    <row r="304" spans="1:25" x14ac:dyDescent="0.25">
      <c r="A304" s="1096"/>
      <c r="B304" s="1455">
        <v>54</v>
      </c>
      <c r="C304" s="1100">
        <v>0.98964532816670925</v>
      </c>
      <c r="D304" s="1100">
        <v>1.0070416468180412</v>
      </c>
      <c r="E304" s="1100">
        <v>1.001260622939687</v>
      </c>
      <c r="F304" s="1100">
        <v>0.99677716823228135</v>
      </c>
      <c r="G304" s="1100">
        <v>0.98772971885386773</v>
      </c>
      <c r="H304" s="1100">
        <v>1.0396050288849175</v>
      </c>
      <c r="I304" s="1100">
        <v>0.97859308459472127</v>
      </c>
      <c r="K304">
        <v>1.3170149147338677</v>
      </c>
      <c r="L304">
        <v>0</v>
      </c>
      <c r="M304">
        <v>6.27947831333759E-4</v>
      </c>
      <c r="N304">
        <v>5.7969075492249861E-2</v>
      </c>
      <c r="O304">
        <v>7.8214877844498525E-3</v>
      </c>
      <c r="P304">
        <v>1.6209396270613737E-2</v>
      </c>
      <c r="Q304">
        <v>4.534192336648733E-4</v>
      </c>
      <c r="R304">
        <v>6.2616545662272859E-4</v>
      </c>
      <c r="S304">
        <v>6.0862751758821443E-2</v>
      </c>
      <c r="T304">
        <v>1.0290142359498515</v>
      </c>
      <c r="U304">
        <v>0</v>
      </c>
      <c r="V304">
        <v>9.7386409187653317E-2</v>
      </c>
      <c r="W304">
        <v>3.8053234216893363E-2</v>
      </c>
      <c r="X304">
        <v>7.5424712568395716E-3</v>
      </c>
      <c r="Y304">
        <v>1.7042159575397671E-3</v>
      </c>
    </row>
    <row r="305" spans="1:25" x14ac:dyDescent="0.25">
      <c r="A305" s="1096"/>
      <c r="B305" s="1455">
        <v>55</v>
      </c>
      <c r="C305" s="1100">
        <v>1.0003054364398183</v>
      </c>
      <c r="D305" s="1100">
        <v>1.0098860303561898</v>
      </c>
      <c r="E305" s="1100">
        <v>1.0250384575684579</v>
      </c>
      <c r="F305" s="1100">
        <v>1.0324957940019395</v>
      </c>
      <c r="G305" s="1100">
        <v>1.0084624604582149</v>
      </c>
      <c r="H305" s="1100">
        <v>1.0014931630663286</v>
      </c>
      <c r="I305" s="1100">
        <v>0.98801061741242691</v>
      </c>
      <c r="K305">
        <v>1.3506137197179682</v>
      </c>
      <c r="L305">
        <v>0</v>
      </c>
      <c r="M305">
        <v>5.6897923107626701E-4</v>
      </c>
      <c r="N305">
        <v>5.6427513131194582E-2</v>
      </c>
      <c r="O305">
        <v>7.7352339457602811E-3</v>
      </c>
      <c r="P305">
        <v>1.6991156427269862E-2</v>
      </c>
      <c r="Q305">
        <v>4.5918644703182203E-4</v>
      </c>
      <c r="R305">
        <v>5.6730277475173206E-4</v>
      </c>
      <c r="S305">
        <v>5.9580145762459867E-2</v>
      </c>
      <c r="T305">
        <v>1.0651668952638882</v>
      </c>
      <c r="U305">
        <v>0</v>
      </c>
      <c r="V305">
        <v>9.8149261443015959E-2</v>
      </c>
      <c r="W305">
        <v>3.6526810113500181E-2</v>
      </c>
      <c r="X305">
        <v>8.035182498605152E-3</v>
      </c>
      <c r="Y305">
        <v>1.5440111415647784E-3</v>
      </c>
    </row>
    <row r="306" spans="1:25" x14ac:dyDescent="0.25">
      <c r="A306" s="1096"/>
      <c r="B306" s="1455">
        <v>56</v>
      </c>
      <c r="C306" s="1100">
        <v>1.0297185726242752</v>
      </c>
      <c r="D306" s="1100">
        <v>1.0140640249297252</v>
      </c>
      <c r="E306" s="1100">
        <v>0.98396472643200594</v>
      </c>
      <c r="F306" s="1100">
        <v>1.025048222538139</v>
      </c>
      <c r="G306" s="1100">
        <v>0.98321955047487408</v>
      </c>
      <c r="H306" s="1100">
        <v>0.98308432053584172</v>
      </c>
      <c r="I306" s="1100">
        <v>1.005828756554112</v>
      </c>
      <c r="K306">
        <v>1.3322378815500513</v>
      </c>
      <c r="L306">
        <v>0</v>
      </c>
      <c r="M306">
        <v>5.8987910088346453E-4</v>
      </c>
      <c r="N306">
        <v>5.1672386345180191E-2</v>
      </c>
      <c r="O306">
        <v>7.4921401817913715E-3</v>
      </c>
      <c r="P306">
        <v>1.6348501083605083E-2</v>
      </c>
      <c r="Q306">
        <v>4.2681044369828635E-4</v>
      </c>
      <c r="R306">
        <v>5.8810851882771305E-4</v>
      </c>
      <c r="S306">
        <v>5.8207035470066948E-2</v>
      </c>
      <c r="T306">
        <v>1.0587312307017758</v>
      </c>
      <c r="U306">
        <v>0</v>
      </c>
      <c r="V306">
        <v>9.6174689545580547E-2</v>
      </c>
      <c r="W306">
        <v>3.4272384940488149E-2</v>
      </c>
      <c r="X306">
        <v>7.313835901591576E-3</v>
      </c>
      <c r="Y306">
        <v>1.6006375183279073E-3</v>
      </c>
    </row>
    <row r="307" spans="1:25" x14ac:dyDescent="0.25">
      <c r="A307" s="1096"/>
      <c r="B307" s="1455">
        <v>57</v>
      </c>
      <c r="C307" s="1100">
        <v>1.0097978165651238</v>
      </c>
      <c r="D307" s="1100">
        <v>0.98145143206384411</v>
      </c>
      <c r="E307" s="1100">
        <v>0.97575756665505398</v>
      </c>
      <c r="F307" s="1100">
        <v>0.99688941164823119</v>
      </c>
      <c r="G307" s="1100">
        <v>1.0134082284489092</v>
      </c>
      <c r="H307" s="1100">
        <v>1.0082580101413325</v>
      </c>
      <c r="I307" s="1100">
        <v>1.0386681371238171</v>
      </c>
      <c r="K307">
        <v>1.3147063403896522</v>
      </c>
      <c r="L307">
        <v>0</v>
      </c>
      <c r="M307">
        <v>6.3573592632920183E-4</v>
      </c>
      <c r="N307">
        <v>5.4327580462832675E-2</v>
      </c>
      <c r="O307">
        <v>7.7384896951564284E-3</v>
      </c>
      <c r="P307">
        <v>1.5952995263004314E-2</v>
      </c>
      <c r="Q307">
        <v>4.3718202304996308E-4</v>
      </c>
      <c r="R307">
        <v>6.3387534399932306E-4</v>
      </c>
      <c r="S307">
        <v>6.3167892829288266E-2</v>
      </c>
      <c r="T307">
        <v>1.0298955745011742</v>
      </c>
      <c r="U307">
        <v>0</v>
      </c>
      <c r="V307">
        <v>9.8100555103151119E-2</v>
      </c>
      <c r="W307">
        <v>3.6212510650388781E-2</v>
      </c>
      <c r="X307">
        <v>7.1502207145203904E-3</v>
      </c>
      <c r="Y307">
        <v>1.7251997294151667E-3</v>
      </c>
    </row>
    <row r="308" spans="1:25" x14ac:dyDescent="0.25">
      <c r="A308" s="1096"/>
      <c r="B308" s="1455">
        <v>58</v>
      </c>
      <c r="C308" s="1100">
        <v>0.98559858332050521</v>
      </c>
      <c r="D308" s="1100">
        <v>1.0057281182737459</v>
      </c>
      <c r="E308" s="1100">
        <v>1.0036807184755498</v>
      </c>
      <c r="F308" s="1100">
        <v>1.0184727415697528</v>
      </c>
      <c r="G308" s="1100">
        <v>1.0035929877978953</v>
      </c>
      <c r="H308" s="1100">
        <v>0.97362276104835666</v>
      </c>
      <c r="I308" s="1100">
        <v>1.0325245233248885</v>
      </c>
      <c r="K308">
        <v>1.3366660800347598</v>
      </c>
      <c r="L308">
        <v>0</v>
      </c>
      <c r="M308">
        <v>5.8785626889059717E-4</v>
      </c>
      <c r="N308">
        <v>5.4655642161054854E-2</v>
      </c>
      <c r="O308">
        <v>7.8583047119716708E-3</v>
      </c>
      <c r="P308">
        <v>1.6577218971187614E-2</v>
      </c>
      <c r="Q308">
        <v>4.5666157136473463E-4</v>
      </c>
      <c r="R308">
        <v>5.8607461125233132E-4</v>
      </c>
      <c r="S308">
        <v>6.2422054938890317E-2</v>
      </c>
      <c r="T308">
        <v>1.051338288652532</v>
      </c>
      <c r="U308">
        <v>0</v>
      </c>
      <c r="V308">
        <v>9.8259373335282771E-2</v>
      </c>
      <c r="W308">
        <v>3.5826694550508624E-2</v>
      </c>
      <c r="X308">
        <v>7.6785209072207251E-3</v>
      </c>
      <c r="Y308">
        <v>1.5951018923851697E-3</v>
      </c>
    </row>
    <row r="309" spans="1:25" x14ac:dyDescent="0.25">
      <c r="A309" s="1096"/>
      <c r="B309" s="1455">
        <v>59</v>
      </c>
      <c r="C309" s="1100">
        <v>0.9959798368298225</v>
      </c>
      <c r="D309" s="1100">
        <v>0.96055164276578309</v>
      </c>
      <c r="E309" s="1100">
        <v>1.0000170562377428</v>
      </c>
      <c r="F309" s="1100">
        <v>0.9963400080921877</v>
      </c>
      <c r="G309" s="1100">
        <v>1.0182526550011921</v>
      </c>
      <c r="H309" s="1100">
        <v>0.95522068053459031</v>
      </c>
      <c r="I309" s="1100">
        <v>0.9980682242245692</v>
      </c>
      <c r="K309">
        <v>1.3108591027859098</v>
      </c>
      <c r="L309">
        <v>0</v>
      </c>
      <c r="M309">
        <v>5.8575906361925324E-4</v>
      </c>
      <c r="N309">
        <v>5.3858096674174606E-2</v>
      </c>
      <c r="O309">
        <v>7.9197597501332109E-3</v>
      </c>
      <c r="P309">
        <v>1.6203513813760919E-2</v>
      </c>
      <c r="Q309">
        <v>4.5854281738586422E-4</v>
      </c>
      <c r="R309">
        <v>5.8394956140337697E-4</v>
      </c>
      <c r="S309">
        <v>6.0630932076667109E-2</v>
      </c>
      <c r="T309">
        <v>1.0285997933001085</v>
      </c>
      <c r="U309">
        <v>0</v>
      </c>
      <c r="V309">
        <v>9.8702354915151044E-2</v>
      </c>
      <c r="W309">
        <v>3.5380749624788044E-2</v>
      </c>
      <c r="X309">
        <v>7.5178511087358665E-3</v>
      </c>
      <c r="Y309">
        <v>1.5893182072188108E-3</v>
      </c>
    </row>
    <row r="310" spans="1:25" x14ac:dyDescent="0.25">
      <c r="A310" s="1096"/>
      <c r="B310" s="1455">
        <v>60</v>
      </c>
      <c r="C310" s="1100">
        <v>1.0212633343498974</v>
      </c>
      <c r="D310" s="1100">
        <v>0.9615828038256331</v>
      </c>
      <c r="E310" s="1100">
        <v>1.0029475214265691</v>
      </c>
      <c r="F310" s="1100">
        <v>0.98879621194328093</v>
      </c>
      <c r="G310" s="1100">
        <v>0.98269236429517204</v>
      </c>
      <c r="H310" s="1100">
        <v>1.0161385737782418</v>
      </c>
      <c r="I310" s="1100">
        <v>1.030399714697728</v>
      </c>
      <c r="K310">
        <v>1.306200886906471</v>
      </c>
      <c r="L310">
        <v>0</v>
      </c>
      <c r="M310">
        <v>6.0374578629712706E-4</v>
      </c>
      <c r="N310">
        <v>5.6015911194382255E-2</v>
      </c>
      <c r="O310">
        <v>7.7210912071849118E-3</v>
      </c>
      <c r="P310">
        <v>1.6130691000826838E-2</v>
      </c>
      <c r="Q310">
        <v>4.4835787089931694E-4</v>
      </c>
      <c r="R310">
        <v>6.0199253167271191E-4</v>
      </c>
      <c r="S310">
        <v>6.2919338515282433E-2</v>
      </c>
      <c r="T310">
        <v>1.0207256215824982</v>
      </c>
      <c r="U310">
        <v>0</v>
      </c>
      <c r="V310">
        <v>9.6369261642138493E-2</v>
      </c>
      <c r="W310">
        <v>3.6734311445069119E-2</v>
      </c>
      <c r="X310">
        <v>7.4996304783858025E-3</v>
      </c>
      <c r="Y310">
        <v>1.6384252244283893E-3</v>
      </c>
    </row>
    <row r="311" spans="1:25" x14ac:dyDescent="0.25">
      <c r="A311" s="1096"/>
      <c r="B311" s="1455">
        <v>61</v>
      </c>
      <c r="C311" s="1100">
        <v>1.0339747536064914</v>
      </c>
      <c r="D311" s="1100">
        <v>0.99630779281505844</v>
      </c>
      <c r="E311" s="1100">
        <v>0.997277715707375</v>
      </c>
      <c r="F311" s="1100">
        <v>1.0361137375444374</v>
      </c>
      <c r="G311" s="1100">
        <v>0.99414957300623696</v>
      </c>
      <c r="H311" s="1100">
        <v>0.96317560860838569</v>
      </c>
      <c r="I311" s="1100">
        <v>1.0192916180752751</v>
      </c>
      <c r="K311">
        <v>1.3440506319409715</v>
      </c>
      <c r="L311">
        <v>0</v>
      </c>
      <c r="M311">
        <v>5.6387067438764106E-4</v>
      </c>
      <c r="N311">
        <v>5.1419514205757841E-2</v>
      </c>
      <c r="O311">
        <v>7.5173691574601936E-3</v>
      </c>
      <c r="P311">
        <v>1.667598957165561E-2</v>
      </c>
      <c r="Q311">
        <v>4.3404726859145757E-4</v>
      </c>
      <c r="R311">
        <v>5.6214317520379481E-4</v>
      </c>
      <c r="S311">
        <v>5.8716172982031738E-2</v>
      </c>
      <c r="T311">
        <v>1.0697459238169915</v>
      </c>
      <c r="U311">
        <v>0</v>
      </c>
      <c r="V311">
        <v>9.6618949232681176E-2</v>
      </c>
      <c r="W311">
        <v>3.3833882334673292E-2</v>
      </c>
      <c r="X311">
        <v>7.5605424578552736E-3</v>
      </c>
      <c r="Y311">
        <v>1.5299684124568268E-3</v>
      </c>
    </row>
    <row r="312" spans="1:25" x14ac:dyDescent="0.25">
      <c r="A312" s="1096"/>
      <c r="B312" s="1455">
        <v>62</v>
      </c>
      <c r="C312" s="1100">
        <v>1.0221613042931383</v>
      </c>
      <c r="D312" s="1100">
        <v>1.0232197069653153</v>
      </c>
      <c r="E312" s="1100">
        <v>0.98197172136987432</v>
      </c>
      <c r="F312" s="1100">
        <v>1.0265535346752888</v>
      </c>
      <c r="G312" s="1100">
        <v>0.97504030899467575</v>
      </c>
      <c r="H312" s="1100">
        <v>0.9956250629713348</v>
      </c>
      <c r="I312" s="1100">
        <v>0.98646524679567571</v>
      </c>
      <c r="K312">
        <v>1.3343589610808293</v>
      </c>
      <c r="L312">
        <v>0</v>
      </c>
      <c r="M312">
        <v>6.0213848196853735E-4</v>
      </c>
      <c r="N312">
        <v>5.2431232825012886E-2</v>
      </c>
      <c r="O312">
        <v>7.5199730328033921E-3</v>
      </c>
      <c r="P312">
        <v>1.6334398805024904E-2</v>
      </c>
      <c r="Q312">
        <v>4.2753052988584892E-4</v>
      </c>
      <c r="R312">
        <v>6.0035386761737907E-4</v>
      </c>
      <c r="S312">
        <v>5.7595888904235698E-2</v>
      </c>
      <c r="T312">
        <v>1.0603479453516549</v>
      </c>
      <c r="U312">
        <v>0</v>
      </c>
      <c r="V312">
        <v>9.595476564128054E-2</v>
      </c>
      <c r="W312">
        <v>3.4817476416065841E-2</v>
      </c>
      <c r="X312">
        <v>7.2975688681614376E-3</v>
      </c>
      <c r="Y312">
        <v>1.6339653210552341E-3</v>
      </c>
    </row>
    <row r="313" spans="1:25" x14ac:dyDescent="0.25">
      <c r="A313" s="1096"/>
      <c r="B313" s="1455">
        <v>63</v>
      </c>
      <c r="C313" s="1100">
        <v>1.0282046334592758</v>
      </c>
      <c r="D313" s="1100">
        <v>1.0105781204491855</v>
      </c>
      <c r="E313" s="1100">
        <v>1.0163072217578362</v>
      </c>
      <c r="F313" s="1100">
        <v>1.021397127933293</v>
      </c>
      <c r="G313" s="1100">
        <v>1.0031972302988892</v>
      </c>
      <c r="H313" s="1100">
        <v>0.98046030348314006</v>
      </c>
      <c r="I313" s="1100">
        <v>0.98757720599607957</v>
      </c>
      <c r="K313">
        <v>1.3303513394576747</v>
      </c>
      <c r="L313">
        <v>0</v>
      </c>
      <c r="M313">
        <v>5.5170004593125383E-4</v>
      </c>
      <c r="N313">
        <v>5.328820885334213E-2</v>
      </c>
      <c r="O313">
        <v>7.5212027139237841E-3</v>
      </c>
      <c r="P313">
        <v>1.66838507110352E-2</v>
      </c>
      <c r="Q313">
        <v>4.4262360463055624E-4</v>
      </c>
      <c r="R313">
        <v>5.5003963025999913E-4</v>
      </c>
      <c r="S313">
        <v>5.7294195462012996E-2</v>
      </c>
      <c r="T313">
        <v>1.0539770067268814</v>
      </c>
      <c r="U313">
        <v>0</v>
      </c>
      <c r="V313">
        <v>9.7212243878288682E-2</v>
      </c>
      <c r="W313">
        <v>3.4671231697268337E-2</v>
      </c>
      <c r="X313">
        <v>7.7654096729102727E-3</v>
      </c>
      <c r="Y313">
        <v>1.4970265530523331E-3</v>
      </c>
    </row>
    <row r="314" spans="1:25" x14ac:dyDescent="0.25">
      <c r="A314" s="1096"/>
      <c r="B314" s="1455">
        <v>64</v>
      </c>
      <c r="C314" s="1100">
        <v>1.0111746227094065</v>
      </c>
      <c r="D314" s="1100">
        <v>0.97686321997281367</v>
      </c>
      <c r="E314" s="1100">
        <v>1.0115886230798004</v>
      </c>
      <c r="F314" s="1100">
        <v>0.98742977962491896</v>
      </c>
      <c r="G314" s="1100">
        <v>1.0033518976634099</v>
      </c>
      <c r="H314" s="1100">
        <v>0.98633966442596377</v>
      </c>
      <c r="I314" s="1100">
        <v>0.98090188477330964</v>
      </c>
      <c r="K314">
        <v>1.3002402355302518</v>
      </c>
      <c r="L314">
        <v>0</v>
      </c>
      <c r="M314">
        <v>5.777065167740375E-4</v>
      </c>
      <c r="N314">
        <v>5.5012104597476359E-2</v>
      </c>
      <c r="O314">
        <v>7.7512228469745125E-3</v>
      </c>
      <c r="P314">
        <v>1.61761506508196E-2</v>
      </c>
      <c r="Q314">
        <v>4.5401837943530738E-4</v>
      </c>
      <c r="R314">
        <v>5.7597819505780237E-4</v>
      </c>
      <c r="S314">
        <v>5.9102477638110607E-2</v>
      </c>
      <c r="T314">
        <v>1.0190629411238885</v>
      </c>
      <c r="U314">
        <v>0</v>
      </c>
      <c r="V314">
        <v>9.7620494224041024E-2</v>
      </c>
      <c r="W314">
        <v>3.5892280858999898E-2</v>
      </c>
      <c r="X314">
        <v>7.6026507564362026E-3</v>
      </c>
      <c r="Y314">
        <v>1.5676227757863664E-3</v>
      </c>
    </row>
    <row r="315" spans="1:25" x14ac:dyDescent="0.25">
      <c r="A315" s="1096"/>
      <c r="B315" s="1455">
        <v>65</v>
      </c>
      <c r="C315" s="1100">
        <v>0.98404646816481678</v>
      </c>
      <c r="D315" s="1100">
        <v>1.0313410696277954</v>
      </c>
      <c r="E315" s="1100">
        <v>1.0040967916761154</v>
      </c>
      <c r="F315" s="1100">
        <v>1.0306095064740166</v>
      </c>
      <c r="G315" s="1100">
        <v>1.0104937798363367</v>
      </c>
      <c r="H315" s="1100">
        <v>0.96055025433304764</v>
      </c>
      <c r="I315" s="1100">
        <v>1.0162102091319298</v>
      </c>
      <c r="K315">
        <v>1.3455685290890551</v>
      </c>
      <c r="L315">
        <v>0</v>
      </c>
      <c r="M315">
        <v>5.7456776007533958E-4</v>
      </c>
      <c r="N315">
        <v>5.3485111464802282E-2</v>
      </c>
      <c r="O315">
        <v>7.7920253710665396E-3</v>
      </c>
      <c r="P315">
        <v>1.6729634069373819E-2</v>
      </c>
      <c r="Q315">
        <v>4.5299895861485408E-4</v>
      </c>
      <c r="R315">
        <v>5.7280267769213014E-4</v>
      </c>
      <c r="S315">
        <v>6.0299511942034416E-2</v>
      </c>
      <c r="T315">
        <v>1.0638539863102419</v>
      </c>
      <c r="U315">
        <v>0</v>
      </c>
      <c r="V315">
        <v>9.8633352389621051E-2</v>
      </c>
      <c r="W315">
        <v>3.5050771118677174E-2</v>
      </c>
      <c r="X315">
        <v>7.7139224826780883E-3</v>
      </c>
      <c r="Y315">
        <v>1.5589800643260247E-3</v>
      </c>
    </row>
    <row r="316" spans="1:25" x14ac:dyDescent="0.25">
      <c r="A316" s="1096"/>
      <c r="B316" s="1455">
        <v>66</v>
      </c>
      <c r="C316" s="1100">
        <v>1.0102368208227948</v>
      </c>
      <c r="D316" s="1100">
        <v>0.96382890652559228</v>
      </c>
      <c r="E316" s="1100">
        <v>0.95842488410450266</v>
      </c>
      <c r="F316" s="1100">
        <v>0.99757350201549266</v>
      </c>
      <c r="G316" s="1100">
        <v>0.96959775473100229</v>
      </c>
      <c r="H316" s="1100">
        <v>1.0352633987075976</v>
      </c>
      <c r="I316" s="1100">
        <v>1.0154053793970133</v>
      </c>
      <c r="K316">
        <v>1.3153824693424079</v>
      </c>
      <c r="L316">
        <v>0</v>
      </c>
      <c r="M316">
        <v>6.8115752302822376E-4</v>
      </c>
      <c r="N316">
        <v>5.5236626461326599E-2</v>
      </c>
      <c r="O316">
        <v>7.7871396531691266E-3</v>
      </c>
      <c r="P316">
        <v>1.5729604384598986E-2</v>
      </c>
      <c r="Q316">
        <v>4.3219310680126189E-4</v>
      </c>
      <c r="R316">
        <v>6.7921600907574597E-4</v>
      </c>
      <c r="S316">
        <v>6.315259027127347E-2</v>
      </c>
      <c r="T316">
        <v>1.0311340070131587</v>
      </c>
      <c r="U316">
        <v>0</v>
      </c>
      <c r="V316">
        <v>9.5951970445764201E-2</v>
      </c>
      <c r="W316">
        <v>3.7209817722577664E-2</v>
      </c>
      <c r="X316">
        <v>6.9018597244831096E-3</v>
      </c>
      <c r="Y316">
        <v>1.8486020732069643E-3</v>
      </c>
    </row>
    <row r="317" spans="1:25" x14ac:dyDescent="0.25">
      <c r="A317" s="1096"/>
      <c r="B317" s="1455">
        <v>67</v>
      </c>
      <c r="C317" s="1100">
        <v>0.99342234186029832</v>
      </c>
      <c r="D317" s="1100">
        <v>1.0064859988760668</v>
      </c>
      <c r="E317" s="1100">
        <v>0.97625121463822329</v>
      </c>
      <c r="F317" s="1100">
        <v>1.0177477272644693</v>
      </c>
      <c r="G317" s="1100">
        <v>1.0134383730677994</v>
      </c>
      <c r="H317" s="1100">
        <v>0.98850944641491467</v>
      </c>
      <c r="I317" s="1100">
        <v>1.0172886835926607</v>
      </c>
      <c r="K317">
        <v>1.3341310849493979</v>
      </c>
      <c r="L317">
        <v>0</v>
      </c>
      <c r="M317">
        <v>6.2656741591908018E-4</v>
      </c>
      <c r="N317">
        <v>5.3620987105851316E-2</v>
      </c>
      <c r="O317">
        <v>7.7873178614259611E-3</v>
      </c>
      <c r="P317">
        <v>1.6229620327999749E-2</v>
      </c>
      <c r="Q317">
        <v>4.4016182955576122E-4</v>
      </c>
      <c r="R317">
        <v>6.2469703182521132E-4</v>
      </c>
      <c r="S317">
        <v>6.1429058776446485E-2</v>
      </c>
      <c r="T317">
        <v>1.0514291765406891</v>
      </c>
      <c r="U317">
        <v>0</v>
      </c>
      <c r="V317">
        <v>9.850695908856158E-2</v>
      </c>
      <c r="W317">
        <v>3.5730838933322115E-2</v>
      </c>
      <c r="X317">
        <v>7.2586154803315562E-3</v>
      </c>
      <c r="Y317">
        <v>1.7002193893070297E-3</v>
      </c>
    </row>
    <row r="318" spans="1:25" x14ac:dyDescent="0.25">
      <c r="A318" s="1096"/>
      <c r="B318" s="1455">
        <v>68</v>
      </c>
      <c r="C318" s="1100">
        <v>1.0045945720506821</v>
      </c>
      <c r="D318" s="1100">
        <v>0.97713684822449609</v>
      </c>
      <c r="E318" s="1100">
        <v>1.0425513845044536</v>
      </c>
      <c r="F318" s="1100">
        <v>0.97887567907782602</v>
      </c>
      <c r="G318" s="1100">
        <v>1.0305012318197191</v>
      </c>
      <c r="H318" s="1100">
        <v>1.0228643972926905</v>
      </c>
      <c r="I318" s="1100">
        <v>0.98642622696163829</v>
      </c>
      <c r="K318">
        <v>1.3007690200893285</v>
      </c>
      <c r="L318">
        <v>0</v>
      </c>
      <c r="M318">
        <v>5.6529800838321089E-4</v>
      </c>
      <c r="N318">
        <v>5.9104498192902512E-2</v>
      </c>
      <c r="O318">
        <v>7.8087863353707944E-3</v>
      </c>
      <c r="P318">
        <v>1.6455817055772835E-2</v>
      </c>
      <c r="Q318">
        <v>4.7163207528233265E-4</v>
      </c>
      <c r="R318">
        <v>5.636671989635504E-4</v>
      </c>
      <c r="S318">
        <v>6.0951663410889381E-2</v>
      </c>
      <c r="T318">
        <v>1.0093569954910588</v>
      </c>
      <c r="U318">
        <v>0</v>
      </c>
      <c r="V318">
        <v>9.9129733856014396E-2</v>
      </c>
      <c r="W318">
        <v>3.7873852719229863E-2</v>
      </c>
      <c r="X318">
        <v>8.0835554594912481E-3</v>
      </c>
      <c r="Y318">
        <v>1.5341163027365839E-3</v>
      </c>
    </row>
    <row r="319" spans="1:25" x14ac:dyDescent="0.25">
      <c r="A319" s="1096"/>
      <c r="B319" s="1455">
        <v>69</v>
      </c>
      <c r="C319" s="1100">
        <v>0.95798470487193055</v>
      </c>
      <c r="D319" s="1100">
        <v>1.0264369389894596</v>
      </c>
      <c r="E319" s="1100">
        <v>1.0281981095026709</v>
      </c>
      <c r="F319" s="1100">
        <v>1.0084690079990779</v>
      </c>
      <c r="G319" s="1100">
        <v>0.99199477446067763</v>
      </c>
      <c r="H319" s="1100">
        <v>0.98101159515721315</v>
      </c>
      <c r="I319" s="1100">
        <v>0.96573844031084444</v>
      </c>
      <c r="K319">
        <v>1.327846414032573</v>
      </c>
      <c r="L319">
        <v>0</v>
      </c>
      <c r="M319">
        <v>5.7440034691945278E-4</v>
      </c>
      <c r="N319">
        <v>5.7506915667820895E-2</v>
      </c>
      <c r="O319">
        <v>8.0254072323638972E-3</v>
      </c>
      <c r="P319">
        <v>1.6689203848771861E-2</v>
      </c>
      <c r="Q319">
        <v>4.7790537504133044E-4</v>
      </c>
      <c r="R319">
        <v>5.7267258311611148E-4</v>
      </c>
      <c r="S319">
        <v>5.9661396973140851E-2</v>
      </c>
      <c r="T319">
        <v>1.0402875066399864</v>
      </c>
      <c r="U319">
        <v>0</v>
      </c>
      <c r="V319">
        <v>9.8451021103513919E-2</v>
      </c>
      <c r="W319">
        <v>3.7157137903769594E-2</v>
      </c>
      <c r="X319">
        <v>8.0330210621905145E-3</v>
      </c>
      <c r="Y319">
        <v>1.5586259897757673E-3</v>
      </c>
    </row>
    <row r="320" spans="1:25" x14ac:dyDescent="0.25">
      <c r="A320" s="1096"/>
      <c r="B320" s="1455">
        <v>70</v>
      </c>
      <c r="C320" s="1100">
        <v>1.0112463145854247</v>
      </c>
      <c r="D320" s="1100">
        <v>0.97209553913729407</v>
      </c>
      <c r="E320" s="1100">
        <v>1.0389151418623608</v>
      </c>
      <c r="F320" s="1100">
        <v>0.99504882545247919</v>
      </c>
      <c r="G320" s="1100">
        <v>0.97247870676940229</v>
      </c>
      <c r="H320" s="1100">
        <v>0.98419524066483433</v>
      </c>
      <c r="I320" s="1100">
        <v>1.0094082588125719</v>
      </c>
      <c r="K320">
        <v>1.3102516754521862</v>
      </c>
      <c r="L320">
        <v>0</v>
      </c>
      <c r="M320">
        <v>5.4559329308738317E-4</v>
      </c>
      <c r="N320">
        <v>5.6416463520694397E-2</v>
      </c>
      <c r="O320">
        <v>7.7725909218737408E-3</v>
      </c>
      <c r="P320">
        <v>1.6606332374777055E-2</v>
      </c>
      <c r="Q320">
        <v>4.6777113095504663E-4</v>
      </c>
      <c r="R320">
        <v>5.4395748790121874E-4</v>
      </c>
      <c r="S320">
        <v>6.0936888576050556E-2</v>
      </c>
      <c r="T320">
        <v>1.026137092873376</v>
      </c>
      <c r="U320">
        <v>0</v>
      </c>
      <c r="V320">
        <v>9.6155522654197759E-2</v>
      </c>
      <c r="W320">
        <v>3.6227120751329923E-2</v>
      </c>
      <c r="X320">
        <v>8.0530554875893664E-3</v>
      </c>
      <c r="Y320">
        <v>1.4804729665294227E-3</v>
      </c>
    </row>
    <row r="321" spans="1:25" x14ac:dyDescent="0.25">
      <c r="A321" s="1096"/>
      <c r="B321" s="1455">
        <v>71</v>
      </c>
      <c r="C321" s="1100">
        <v>1.0181661796891202</v>
      </c>
      <c r="D321" s="1100">
        <v>0.99758285817517978</v>
      </c>
      <c r="E321" s="1100">
        <v>0.99730889061804573</v>
      </c>
      <c r="F321" s="1100">
        <v>0.98885798708602812</v>
      </c>
      <c r="G321" s="1100">
        <v>0.9684065527253648</v>
      </c>
      <c r="H321" s="1100">
        <v>0.99638492728049155</v>
      </c>
      <c r="I321" s="1100">
        <v>1.0212091250334132</v>
      </c>
      <c r="K321">
        <v>1.3000230336542218</v>
      </c>
      <c r="L321">
        <v>0</v>
      </c>
      <c r="M321">
        <v>5.9202793126545013E-4</v>
      </c>
      <c r="N321">
        <v>5.3997798044641568E-2</v>
      </c>
      <c r="O321">
        <v>7.6301907173105176E-3</v>
      </c>
      <c r="P321">
        <v>1.6027623016564411E-2</v>
      </c>
      <c r="Q321">
        <v>4.4057532753387319E-4</v>
      </c>
      <c r="R321">
        <v>5.902746206350619E-4</v>
      </c>
      <c r="S321">
        <v>6.0716888342419548E-2</v>
      </c>
      <c r="T321">
        <v>1.0209553346204094</v>
      </c>
      <c r="U321">
        <v>0</v>
      </c>
      <c r="V321">
        <v>9.5745770993026516E-2</v>
      </c>
      <c r="W321">
        <v>3.5529725444609056E-2</v>
      </c>
      <c r="X321">
        <v>7.3743475249432883E-3</v>
      </c>
      <c r="Y321">
        <v>1.6065329333922417E-3</v>
      </c>
    </row>
    <row r="322" spans="1:25" x14ac:dyDescent="0.25">
      <c r="A322" s="1096"/>
      <c r="B322" s="1455">
        <v>72</v>
      </c>
      <c r="C322" s="1100">
        <v>1.005605614393261</v>
      </c>
      <c r="D322" s="1100">
        <v>1.0368235351746735</v>
      </c>
      <c r="E322" s="1100">
        <v>1.0308989070794226</v>
      </c>
      <c r="F322" s="1100">
        <v>1.0066018324655059</v>
      </c>
      <c r="G322" s="1100">
        <v>0.99687740838044892</v>
      </c>
      <c r="H322" s="1100">
        <v>0.99729225091798668</v>
      </c>
      <c r="I322" s="1100">
        <v>1.0433993153738412</v>
      </c>
      <c r="K322">
        <v>1.3230567270080678</v>
      </c>
      <c r="L322">
        <v>0</v>
      </c>
      <c r="M322">
        <v>5.5093563758262841E-4</v>
      </c>
      <c r="N322">
        <v>5.5611379925097244E-2</v>
      </c>
      <c r="O322">
        <v>7.6152849857262991E-3</v>
      </c>
      <c r="P322">
        <v>1.6707136097131738E-2</v>
      </c>
      <c r="Q322">
        <v>4.546958234258759E-4</v>
      </c>
      <c r="R322">
        <v>5.4930550758383058E-4</v>
      </c>
      <c r="S322">
        <v>6.1587019819715011E-2</v>
      </c>
      <c r="T322">
        <v>1.0382828818633001</v>
      </c>
      <c r="U322">
        <v>0</v>
      </c>
      <c r="V322">
        <v>9.746467735076228E-2</v>
      </c>
      <c r="W322">
        <v>3.5876060303240927E-2</v>
      </c>
      <c r="X322">
        <v>7.9641924565356393E-3</v>
      </c>
      <c r="Y322">
        <v>1.4950285131312782E-3</v>
      </c>
    </row>
    <row r="323" spans="1:25" x14ac:dyDescent="0.25">
      <c r="A323" s="1096"/>
      <c r="B323" s="1455">
        <v>73</v>
      </c>
      <c r="C323" s="1100">
        <v>1.0284976662281724</v>
      </c>
      <c r="D323" s="1100">
        <v>1.0396034321965884</v>
      </c>
      <c r="E323" s="1100">
        <v>1.0235482262107229</v>
      </c>
      <c r="F323" s="1100">
        <v>0.96654016994230618</v>
      </c>
      <c r="G323" s="1100">
        <v>1.0017068005706211</v>
      </c>
      <c r="H323" s="1100">
        <v>1.0124150651718617</v>
      </c>
      <c r="I323" s="1100">
        <v>0.9931856392911047</v>
      </c>
      <c r="K323">
        <v>1.2751865574384351</v>
      </c>
      <c r="L323">
        <v>0</v>
      </c>
      <c r="M323">
        <v>5.5468405222396143E-4</v>
      </c>
      <c r="N323">
        <v>5.4764884427656257E-2</v>
      </c>
      <c r="O323">
        <v>7.4360809341815501E-3</v>
      </c>
      <c r="P323">
        <v>1.5988416314936874E-2</v>
      </c>
      <c r="Q323">
        <v>4.4077588358697569E-4</v>
      </c>
      <c r="R323">
        <v>5.5306734678663193E-4</v>
      </c>
      <c r="S323">
        <v>5.7668610296725591E-2</v>
      </c>
      <c r="T323">
        <v>0.99716608173319954</v>
      </c>
      <c r="U323">
        <v>0</v>
      </c>
      <c r="V323">
        <v>9.7141332544765605E-2</v>
      </c>
      <c r="W323">
        <v>3.5481370161618127E-2</v>
      </c>
      <c r="X323">
        <v>7.5953548478513511E-3</v>
      </c>
      <c r="Y323">
        <v>1.5052669993513438E-3</v>
      </c>
    </row>
    <row r="324" spans="1:25" x14ac:dyDescent="0.25">
      <c r="A324" s="1096"/>
      <c r="B324" s="1455">
        <v>74</v>
      </c>
      <c r="C324" s="1100">
        <v>0.97180293799390494</v>
      </c>
      <c r="D324" s="1100">
        <v>1.0055525101837786</v>
      </c>
      <c r="E324" s="1100">
        <v>0.97092922922374214</v>
      </c>
      <c r="F324" s="1100">
        <v>0.98581220394637958</v>
      </c>
      <c r="G324" s="1100">
        <v>1.0034438333779225</v>
      </c>
      <c r="H324" s="1100">
        <v>0.96961827984086868</v>
      </c>
      <c r="I324" s="1100">
        <v>1.0279278598923196</v>
      </c>
      <c r="K324">
        <v>1.3022670554172002</v>
      </c>
      <c r="L324">
        <v>0</v>
      </c>
      <c r="M324">
        <v>6.35446604101082E-4</v>
      </c>
      <c r="N324">
        <v>5.3508674506819898E-2</v>
      </c>
      <c r="O324">
        <v>7.9621795430491783E-3</v>
      </c>
      <c r="P324">
        <v>1.5745806556732935E-2</v>
      </c>
      <c r="Q324">
        <v>4.4760902155259084E-4</v>
      </c>
      <c r="R324">
        <v>6.3351275720830726E-4</v>
      </c>
      <c r="S324">
        <v>6.2870062618379047E-2</v>
      </c>
      <c r="T324">
        <v>1.018597081878778</v>
      </c>
      <c r="U324">
        <v>0</v>
      </c>
      <c r="V324">
        <v>9.8572363950411523E-2</v>
      </c>
      <c r="W324">
        <v>3.5771350638123485E-2</v>
      </c>
      <c r="X324">
        <v>7.0696476625477424E-3</v>
      </c>
      <c r="Y324">
        <v>1.7242128876967251E-3</v>
      </c>
    </row>
    <row r="325" spans="1:25" x14ac:dyDescent="0.25">
      <c r="A325" s="1096"/>
      <c r="B325" s="1455">
        <v>75</v>
      </c>
      <c r="C325" s="1100">
        <v>0.98775944527382653</v>
      </c>
      <c r="D325" s="1100">
        <v>0.96308629915958477</v>
      </c>
      <c r="E325" s="1100">
        <v>0.98261392859172336</v>
      </c>
      <c r="F325" s="1100">
        <v>0.98152664866535821</v>
      </c>
      <c r="G325" s="1100">
        <v>1.0077140371715598</v>
      </c>
      <c r="H325" s="1100">
        <v>0.99644225923150753</v>
      </c>
      <c r="I325" s="1100">
        <v>0.99146742821373857</v>
      </c>
      <c r="K325">
        <v>1.2999130522480775</v>
      </c>
      <c r="L325">
        <v>0</v>
      </c>
      <c r="M325">
        <v>6.3806583475695914E-4</v>
      </c>
      <c r="N325">
        <v>5.566778887413594E-2</v>
      </c>
      <c r="O325">
        <v>7.9728722402699712E-3</v>
      </c>
      <c r="P325">
        <v>1.5806779459330105E-2</v>
      </c>
      <c r="Q325">
        <v>4.5357464986960517E-4</v>
      </c>
      <c r="R325">
        <v>6.3617629005129799E-4</v>
      </c>
      <c r="S325">
        <v>6.1909961697276888E-2</v>
      </c>
      <c r="T325">
        <v>1.0138196668130297</v>
      </c>
      <c r="U325">
        <v>0</v>
      </c>
      <c r="V325">
        <v>9.8380131871029244E-2</v>
      </c>
      <c r="W325">
        <v>3.6952437166701449E-2</v>
      </c>
      <c r="X325">
        <v>7.2202668750768377E-3</v>
      </c>
      <c r="Y325">
        <v>1.73146214606198E-3</v>
      </c>
    </row>
    <row r="326" spans="1:25" x14ac:dyDescent="0.25">
      <c r="A326" s="1096"/>
      <c r="B326" s="1455">
        <v>76</v>
      </c>
      <c r="C326" s="1100">
        <v>0.96658271142552432</v>
      </c>
      <c r="D326" s="1100">
        <v>1.0341222226512214</v>
      </c>
      <c r="E326" s="1100">
        <v>1.0309799771457839</v>
      </c>
      <c r="F326" s="1100">
        <v>1.0105628253414494</v>
      </c>
      <c r="G326" s="1100">
        <v>0.98507700937609888</v>
      </c>
      <c r="H326" s="1100">
        <v>1.0026961836024721</v>
      </c>
      <c r="I326" s="1100">
        <v>0.99360564286025332</v>
      </c>
      <c r="K326">
        <v>1.3321418656749333</v>
      </c>
      <c r="L326">
        <v>0</v>
      </c>
      <c r="M326">
        <v>5.7678806263504597E-4</v>
      </c>
      <c r="N326">
        <v>5.8236081597705554E-2</v>
      </c>
      <c r="O326">
        <v>7.9310216401365825E-3</v>
      </c>
      <c r="P326">
        <v>1.6766576380397736E-2</v>
      </c>
      <c r="Q326">
        <v>4.7358586506839794E-4</v>
      </c>
      <c r="R326">
        <v>5.7509063714391716E-4</v>
      </c>
      <c r="S326">
        <v>6.1268492562076719E-2</v>
      </c>
      <c r="T326">
        <v>1.0423661767518324</v>
      </c>
      <c r="U326">
        <v>0</v>
      </c>
      <c r="V326">
        <v>9.7889239790172944E-2</v>
      </c>
      <c r="W326">
        <v>3.7567543421680623E-2</v>
      </c>
      <c r="X326">
        <v>8.0796379556244049E-3</v>
      </c>
      <c r="Y326">
        <v>1.5652071357281578E-3</v>
      </c>
    </row>
    <row r="327" spans="1:25" x14ac:dyDescent="0.25">
      <c r="A327" s="1096"/>
      <c r="B327" s="1455">
        <v>77</v>
      </c>
      <c r="C327" s="1100">
        <v>0.98710070015136553</v>
      </c>
      <c r="D327" s="1100">
        <v>1.0282992488516893</v>
      </c>
      <c r="E327" s="1100">
        <v>0.97849407532905097</v>
      </c>
      <c r="F327" s="1100">
        <v>0.99471307521580465</v>
      </c>
      <c r="G327" s="1100">
        <v>0.96797732694300442</v>
      </c>
      <c r="H327" s="1100">
        <v>0.97645221526901649</v>
      </c>
      <c r="I327" s="1100">
        <v>1.0276693335488187</v>
      </c>
      <c r="K327">
        <v>1.3065550308857612</v>
      </c>
      <c r="L327">
        <v>0</v>
      </c>
      <c r="M327">
        <v>6.1471303615349775E-4</v>
      </c>
      <c r="N327">
        <v>5.2962821785833787E-2</v>
      </c>
      <c r="O327">
        <v>7.7708113788952987E-3</v>
      </c>
      <c r="P327">
        <v>1.5908859600260589E-2</v>
      </c>
      <c r="Q327">
        <v>4.4023272934374337E-4</v>
      </c>
      <c r="R327">
        <v>6.1285538035903153E-4</v>
      </c>
      <c r="S327">
        <v>6.1362153963845888E-2</v>
      </c>
      <c r="T327">
        <v>1.0275642981970556</v>
      </c>
      <c r="U327">
        <v>0</v>
      </c>
      <c r="V327">
        <v>9.6470211749657128E-2</v>
      </c>
      <c r="W327">
        <v>3.524440119722437E-2</v>
      </c>
      <c r="X327">
        <v>7.1651076218226736E-3</v>
      </c>
      <c r="Y327">
        <v>1.6679903176154448E-3</v>
      </c>
    </row>
    <row r="328" spans="1:25" x14ac:dyDescent="0.25">
      <c r="A328" s="1096"/>
      <c r="B328" s="1455">
        <v>78</v>
      </c>
      <c r="C328" s="1100">
        <v>1.0061278350623828</v>
      </c>
      <c r="D328" s="1100">
        <v>1.0057984791186783</v>
      </c>
      <c r="E328" s="1100">
        <v>1.0327555047280441</v>
      </c>
      <c r="F328" s="1100">
        <v>1.01396687743129</v>
      </c>
      <c r="G328" s="1100">
        <v>1.0306587809904963</v>
      </c>
      <c r="H328" s="1100">
        <v>0.97857667069502985</v>
      </c>
      <c r="I328" s="1100">
        <v>0.96482185492776451</v>
      </c>
      <c r="K328">
        <v>1.327625465351735</v>
      </c>
      <c r="L328">
        <v>0</v>
      </c>
      <c r="M328">
        <v>5.448095664320388E-4</v>
      </c>
      <c r="N328">
        <v>5.5298485357166652E-2</v>
      </c>
      <c r="O328">
        <v>7.7048436599719662E-3</v>
      </c>
      <c r="P328">
        <v>1.679791662982907E-2</v>
      </c>
      <c r="Q328">
        <v>4.6088760753513981E-4</v>
      </c>
      <c r="R328">
        <v>5.4316673242130219E-4</v>
      </c>
      <c r="S328">
        <v>5.7308391020144345E-2</v>
      </c>
      <c r="T328">
        <v>1.0458254717709403</v>
      </c>
      <c r="U328">
        <v>0</v>
      </c>
      <c r="V328">
        <v>9.9088568129067217E-2</v>
      </c>
      <c r="W328">
        <v>3.5635834775321451E-2</v>
      </c>
      <c r="X328">
        <v>8.0283884449828726E-3</v>
      </c>
      <c r="Y328">
        <v>1.4783207907855637E-3</v>
      </c>
    </row>
    <row r="329" spans="1:25" x14ac:dyDescent="0.25">
      <c r="A329" s="1096"/>
      <c r="B329" s="1455">
        <v>79</v>
      </c>
      <c r="C329" s="1100">
        <v>1.010296124595077</v>
      </c>
      <c r="D329" s="1100">
        <v>1.0161522954397251</v>
      </c>
      <c r="E329" s="1100">
        <v>0.98803322922235681</v>
      </c>
      <c r="F329" s="1100">
        <v>1.0234447156078994</v>
      </c>
      <c r="G329" s="1100">
        <v>0.97079351927053825</v>
      </c>
      <c r="H329" s="1100">
        <v>1.0040850514540143</v>
      </c>
      <c r="I329" s="1100">
        <v>1.0181649806751265</v>
      </c>
      <c r="K329">
        <v>1.3368174922329983</v>
      </c>
      <c r="L329">
        <v>0</v>
      </c>
      <c r="M329">
        <v>6.0841248164480641E-4</v>
      </c>
      <c r="N329">
        <v>5.3959104872568414E-2</v>
      </c>
      <c r="O329">
        <v>7.6308718938577907E-3</v>
      </c>
      <c r="P329">
        <v>1.6405750240862837E-2</v>
      </c>
      <c r="Q329">
        <v>4.3650902622880837E-4</v>
      </c>
      <c r="R329">
        <v>6.0662446551632378E-4</v>
      </c>
      <c r="S329">
        <v>6.0633271758529769E-2</v>
      </c>
      <c r="T329">
        <v>1.056949353434107</v>
      </c>
      <c r="U329">
        <v>0</v>
      </c>
      <c r="V329">
        <v>9.604064930991929E-2</v>
      </c>
      <c r="W329">
        <v>3.5701683035384575E-2</v>
      </c>
      <c r="X329">
        <v>7.4110548562321254E-3</v>
      </c>
      <c r="Y329">
        <v>1.6510318214341204E-3</v>
      </c>
    </row>
    <row r="330" spans="1:25" x14ac:dyDescent="0.25">
      <c r="A330" s="1096"/>
      <c r="B330" s="1455">
        <v>80</v>
      </c>
      <c r="C330" s="1100">
        <v>0.98345057869610175</v>
      </c>
      <c r="D330" s="1100">
        <v>0.99959131318855887</v>
      </c>
      <c r="E330" s="1100">
        <v>0.99341790835964383</v>
      </c>
      <c r="F330" s="1100">
        <v>1.0046258282308362</v>
      </c>
      <c r="G330" s="1100">
        <v>1.016726844069153</v>
      </c>
      <c r="H330" s="1100">
        <v>1.0075847239483691</v>
      </c>
      <c r="I330" s="1100">
        <v>0.99882703566319631</v>
      </c>
      <c r="K330">
        <v>1.3252265771446152</v>
      </c>
      <c r="L330">
        <v>0</v>
      </c>
      <c r="M330">
        <v>6.2433265413939804E-4</v>
      </c>
      <c r="N330">
        <v>5.6280397521741313E-2</v>
      </c>
      <c r="O330">
        <v>7.8922114321542339E-3</v>
      </c>
      <c r="P330">
        <v>1.6261011031935363E-2</v>
      </c>
      <c r="Q330">
        <v>4.5392127578352208E-4</v>
      </c>
      <c r="R330">
        <v>6.2250422432603503E-4</v>
      </c>
      <c r="S330">
        <v>6.1759640154495109E-2</v>
      </c>
      <c r="T330">
        <v>1.0373518758541942</v>
      </c>
      <c r="U330">
        <v>0</v>
      </c>
      <c r="V330">
        <v>9.8938118322695182E-2</v>
      </c>
      <c r="W330">
        <v>3.7117693956679999E-2</v>
      </c>
      <c r="X330">
        <v>7.479284734596226E-3</v>
      </c>
      <c r="Y330">
        <v>1.6942512901530697E-3</v>
      </c>
    </row>
    <row r="331" spans="1:25" x14ac:dyDescent="0.25">
      <c r="A331" s="1096"/>
      <c r="B331" s="1455">
        <v>81</v>
      </c>
      <c r="C331" s="1100">
        <v>1.0017199724552499</v>
      </c>
      <c r="D331" s="1100">
        <v>1.0212642788772668</v>
      </c>
      <c r="E331" s="1100">
        <v>0.99493627912924165</v>
      </c>
      <c r="F331" s="1100">
        <v>1.0367808886317742</v>
      </c>
      <c r="G331" s="1100">
        <v>1.0102129967795721</v>
      </c>
      <c r="H331" s="1100">
        <v>0.97728734377291426</v>
      </c>
      <c r="I331" s="1100">
        <v>0.98705869935289314</v>
      </c>
      <c r="K331">
        <v>1.3492394730739816</v>
      </c>
      <c r="L331">
        <v>0</v>
      </c>
      <c r="M331">
        <v>5.8758417628970055E-4</v>
      </c>
      <c r="N331">
        <v>5.3206507473579481E-2</v>
      </c>
      <c r="O331">
        <v>7.6824455452991422E-3</v>
      </c>
      <c r="P331">
        <v>1.6672925514015745E-2</v>
      </c>
      <c r="Q331">
        <v>4.4253364494132528E-4</v>
      </c>
      <c r="R331">
        <v>5.8581002097935397E-4</v>
      </c>
      <c r="S331">
        <v>5.8332092904696049E-2</v>
      </c>
      <c r="T331">
        <v>1.0705072687993276</v>
      </c>
      <c r="U331">
        <v>0</v>
      </c>
      <c r="V331">
        <v>9.816515834791871E-2</v>
      </c>
      <c r="W331">
        <v>3.5058622859473032E-2</v>
      </c>
      <c r="X331">
        <v>7.5793103751564377E-3</v>
      </c>
      <c r="Y331">
        <v>1.5943817648842854E-3</v>
      </c>
    </row>
    <row r="332" spans="1:25" x14ac:dyDescent="0.25">
      <c r="A332" s="1096"/>
      <c r="B332" s="1455">
        <v>82</v>
      </c>
      <c r="C332" s="1100">
        <v>0.9952798786356053</v>
      </c>
      <c r="D332" s="1100">
        <v>1.0074723666603749</v>
      </c>
      <c r="E332" s="1100">
        <v>1.0042532173305898</v>
      </c>
      <c r="F332" s="1100">
        <v>0.99057167948004332</v>
      </c>
      <c r="G332" s="1100">
        <v>1.0318883718819483</v>
      </c>
      <c r="H332" s="1100">
        <v>1.0146707756825688</v>
      </c>
      <c r="I332" s="1100">
        <v>1.0022368199104308</v>
      </c>
      <c r="K332">
        <v>1.3100798171819712</v>
      </c>
      <c r="L332">
        <v>0</v>
      </c>
      <c r="M332">
        <v>6.055407244717956E-4</v>
      </c>
      <c r="N332">
        <v>5.6404215806988366E-2</v>
      </c>
      <c r="O332">
        <v>7.7766142737101789E-3</v>
      </c>
      <c r="P332">
        <v>1.6188713486877931E-2</v>
      </c>
      <c r="Q332">
        <v>4.521739439251029E-4</v>
      </c>
      <c r="R332">
        <v>6.0377971365998704E-4</v>
      </c>
      <c r="S332">
        <v>6.1204755572616745E-2</v>
      </c>
      <c r="T332">
        <v>1.0225200620367199</v>
      </c>
      <c r="U332">
        <v>0</v>
      </c>
      <c r="V332">
        <v>9.9384290455709609E-2</v>
      </c>
      <c r="W332">
        <v>3.6960343035986262E-2</v>
      </c>
      <c r="X332">
        <v>7.5471202355971469E-3</v>
      </c>
      <c r="Y332">
        <v>1.6432893446533688E-3</v>
      </c>
    </row>
    <row r="333" spans="1:25" x14ac:dyDescent="0.25">
      <c r="A333" s="1096"/>
      <c r="B333" s="1455">
        <v>83</v>
      </c>
      <c r="C333" s="1100">
        <v>1.0137476994681351</v>
      </c>
      <c r="D333" s="1100">
        <v>1.0411960103266746</v>
      </c>
      <c r="E333" s="1100">
        <v>0.99270554718331838</v>
      </c>
      <c r="F333" s="1100">
        <v>1.0019702380079485</v>
      </c>
      <c r="G333" s="1100">
        <v>1.0100405240387207</v>
      </c>
      <c r="H333" s="1100">
        <v>0.97412552417193954</v>
      </c>
      <c r="I333" s="1100">
        <v>0.96554839666148773</v>
      </c>
      <c r="K333">
        <v>1.3073055636039115</v>
      </c>
      <c r="L333">
        <v>0</v>
      </c>
      <c r="M333">
        <v>5.7693792982730784E-4</v>
      </c>
      <c r="N333">
        <v>5.1890901683293737E-2</v>
      </c>
      <c r="O333">
        <v>7.5322995963592052E-3</v>
      </c>
      <c r="P333">
        <v>1.6118669759293224E-2</v>
      </c>
      <c r="Q333">
        <v>4.3290962215524034E-4</v>
      </c>
      <c r="R333">
        <v>5.7519026563836249E-4</v>
      </c>
      <c r="S333">
        <v>5.5709181276025282E-2</v>
      </c>
      <c r="T333">
        <v>1.0346311718130996</v>
      </c>
      <c r="U333">
        <v>0</v>
      </c>
      <c r="V333">
        <v>9.7860826239883028E-2</v>
      </c>
      <c r="W333">
        <v>3.4237333523302764E-2</v>
      </c>
      <c r="X333">
        <v>7.3285394630411612E-3</v>
      </c>
      <c r="Y333">
        <v>1.565478291647514E-3</v>
      </c>
    </row>
    <row r="334" spans="1:25" x14ac:dyDescent="0.25">
      <c r="A334" s="1096"/>
      <c r="B334" s="1455">
        <v>84</v>
      </c>
      <c r="C334" s="1100">
        <v>1.0253708063714799</v>
      </c>
      <c r="D334" s="1100">
        <v>0.95791805983037981</v>
      </c>
      <c r="E334" s="1100">
        <v>0.95931927103765691</v>
      </c>
      <c r="F334" s="1100">
        <v>0.96034231394721681</v>
      </c>
      <c r="G334" s="1100">
        <v>0.98781911621395868</v>
      </c>
      <c r="H334" s="1100">
        <v>0.97933442647173874</v>
      </c>
      <c r="I334" s="1100">
        <v>1.0105267008848813</v>
      </c>
      <c r="K334">
        <v>1.2676803834425607</v>
      </c>
      <c r="L334">
        <v>0</v>
      </c>
      <c r="M334">
        <v>6.3524047284348932E-4</v>
      </c>
      <c r="N334">
        <v>5.164448199403681E-2</v>
      </c>
      <c r="O334">
        <v>7.6913231673742047E-3</v>
      </c>
      <c r="P334">
        <v>1.5201926142191166E-2</v>
      </c>
      <c r="Q334">
        <v>4.2726804200454098E-4</v>
      </c>
      <c r="R334">
        <v>6.3332643307402773E-4</v>
      </c>
      <c r="S334">
        <v>6.0415446359045083E-2</v>
      </c>
      <c r="T334">
        <v>0.99262365780308037</v>
      </c>
      <c r="U334">
        <v>0</v>
      </c>
      <c r="V334">
        <v>9.6472359228711294E-2</v>
      </c>
      <c r="W334">
        <v>3.4770890327763739E-2</v>
      </c>
      <c r="X334">
        <v>6.7112386432968971E-3</v>
      </c>
      <c r="Y334">
        <v>1.7237057748249504E-3</v>
      </c>
    </row>
    <row r="335" spans="1:25" x14ac:dyDescent="0.25">
      <c r="A335" s="1096"/>
      <c r="B335" s="1455">
        <v>85</v>
      </c>
      <c r="C335" s="1100">
        <v>0.99743747492272372</v>
      </c>
      <c r="D335" s="1100">
        <v>0.98716823997778258</v>
      </c>
      <c r="E335" s="1100">
        <v>1.0059924541327052</v>
      </c>
      <c r="F335" s="1100">
        <v>0.99517839915721118</v>
      </c>
      <c r="G335" s="1100">
        <v>1.0361655477014922</v>
      </c>
      <c r="H335" s="1100">
        <v>1.0197174059625549</v>
      </c>
      <c r="I335" s="1100">
        <v>1.0212758257152141</v>
      </c>
      <c r="K335">
        <v>1.3182022042625212</v>
      </c>
      <c r="L335">
        <v>0</v>
      </c>
      <c r="M335">
        <v>6.099950583375594E-4</v>
      </c>
      <c r="N335">
        <v>5.7119182667658815E-2</v>
      </c>
      <c r="O335">
        <v>7.8236748270626259E-3</v>
      </c>
      <c r="P335">
        <v>1.6301843250569294E-2</v>
      </c>
      <c r="Q335">
        <v>4.557040322326731E-4</v>
      </c>
      <c r="R335">
        <v>6.0822987303560416E-4</v>
      </c>
      <c r="S335">
        <v>6.3075000160055003E-2</v>
      </c>
      <c r="T335">
        <v>1.0272241048764164</v>
      </c>
      <c r="U335">
        <v>0</v>
      </c>
      <c r="V335">
        <v>9.9539312719920114E-2</v>
      </c>
      <c r="W335">
        <v>3.7390329287912569E-2</v>
      </c>
      <c r="X335">
        <v>7.6194164145158543E-3</v>
      </c>
      <c r="Y335">
        <v>1.6554012114791549E-3</v>
      </c>
    </row>
    <row r="336" spans="1:25" x14ac:dyDescent="0.25">
      <c r="A336" s="1096"/>
      <c r="B336" s="1455">
        <v>86</v>
      </c>
      <c r="C336" s="1100">
        <v>1.0403536552100303</v>
      </c>
      <c r="D336" s="1100">
        <v>1.0218521987627194</v>
      </c>
      <c r="E336" s="1100">
        <v>1.0212499634006165</v>
      </c>
      <c r="F336" s="1100">
        <v>1.0426053473456209</v>
      </c>
      <c r="G336" s="1100">
        <v>1.0040258223478638</v>
      </c>
      <c r="H336" s="1100">
        <v>1.003569870819667</v>
      </c>
      <c r="I336" s="1100">
        <v>0.99286901119984206</v>
      </c>
      <c r="K336">
        <v>1.35314696957999</v>
      </c>
      <c r="L336">
        <v>0</v>
      </c>
      <c r="M336">
        <v>5.499539983130602E-4</v>
      </c>
      <c r="N336">
        <v>5.3921390032109918E-2</v>
      </c>
      <c r="O336">
        <v>7.4016171647460277E-3</v>
      </c>
      <c r="P336">
        <v>1.7041877945805771E-2</v>
      </c>
      <c r="Q336">
        <v>4.3773307807593931E-4</v>
      </c>
      <c r="R336">
        <v>5.4833695159329534E-4</v>
      </c>
      <c r="S336">
        <v>5.7262650744110362E-2</v>
      </c>
      <c r="T336">
        <v>1.0757111985049579</v>
      </c>
      <c r="U336">
        <v>0</v>
      </c>
      <c r="V336">
        <v>9.6976274934474263E-2</v>
      </c>
      <c r="W336">
        <v>3.4981799062657928E-2</v>
      </c>
      <c r="X336">
        <v>7.9216527367610857E-3</v>
      </c>
      <c r="Y336">
        <v>1.4923924230094373E-3</v>
      </c>
    </row>
    <row r="337" spans="1:25" x14ac:dyDescent="0.25">
      <c r="A337" s="1096"/>
      <c r="B337" s="1455">
        <v>87</v>
      </c>
      <c r="C337" s="1100">
        <v>0.98411990275719152</v>
      </c>
      <c r="D337" s="1100">
        <v>0.96532213856693661</v>
      </c>
      <c r="E337" s="1100">
        <v>1.0157471911397031</v>
      </c>
      <c r="F337" s="1100">
        <v>1.0441669615528328</v>
      </c>
      <c r="G337" s="1100">
        <v>1.0254654044216458</v>
      </c>
      <c r="H337" s="1100">
        <v>0.98395311685832143</v>
      </c>
      <c r="I337" s="1100">
        <v>1.011155984015945</v>
      </c>
      <c r="K337">
        <v>1.3689036619752428</v>
      </c>
      <c r="L337">
        <v>0</v>
      </c>
      <c r="M337">
        <v>5.8985294735521476E-4</v>
      </c>
      <c r="N337">
        <v>5.6877769864093305E-2</v>
      </c>
      <c r="O337">
        <v>8.0033199435509492E-3</v>
      </c>
      <c r="P337">
        <v>1.7109031244931877E-2</v>
      </c>
      <c r="Q337">
        <v>4.7073352773701921E-4</v>
      </c>
      <c r="R337">
        <v>5.880840070948913E-4</v>
      </c>
      <c r="S337">
        <v>6.2930231885244367E-2</v>
      </c>
      <c r="T337">
        <v>1.0774902650857521</v>
      </c>
      <c r="U337">
        <v>0</v>
      </c>
      <c r="V337">
        <v>9.9368996470511756E-2</v>
      </c>
      <c r="W337">
        <v>3.7018894744671661E-2</v>
      </c>
      <c r="X337">
        <v>8.0356173435367859E-3</v>
      </c>
      <c r="Y337">
        <v>1.6005708054714564E-3</v>
      </c>
    </row>
    <row r="338" spans="1:25" x14ac:dyDescent="0.25">
      <c r="A338" s="1096"/>
      <c r="B338" s="1455">
        <v>88</v>
      </c>
      <c r="C338" s="1100">
        <v>0.99782973148308007</v>
      </c>
      <c r="D338" s="1100">
        <v>0.97212710159083016</v>
      </c>
      <c r="E338" s="1100">
        <v>1.0080120305713391</v>
      </c>
      <c r="F338" s="1100">
        <v>0.99924177766120836</v>
      </c>
      <c r="G338" s="1100">
        <v>0.98971320855420253</v>
      </c>
      <c r="H338" s="1100">
        <v>1.0305438796545172</v>
      </c>
      <c r="I338" s="1100">
        <v>0.99991111300652313</v>
      </c>
      <c r="K338">
        <v>1.3214465849025612</v>
      </c>
      <c r="L338">
        <v>0</v>
      </c>
      <c r="M338">
        <v>6.1743058599541764E-4</v>
      </c>
      <c r="N338">
        <v>5.8170870998805579E-2</v>
      </c>
      <c r="O338">
        <v>7.8692808375708349E-3</v>
      </c>
      <c r="P338">
        <v>1.6345224414204072E-2</v>
      </c>
      <c r="Q338">
        <v>4.59288266926942E-4</v>
      </c>
      <c r="R338">
        <v>6.1566265435037185E-4</v>
      </c>
      <c r="S338">
        <v>6.2578076126593357E-2</v>
      </c>
      <c r="T338">
        <v>1.0313586814234521</v>
      </c>
      <c r="U338">
        <v>0</v>
      </c>
      <c r="V338">
        <v>9.7284490994477557E-2</v>
      </c>
      <c r="W338">
        <v>3.8033338533760959E-2</v>
      </c>
      <c r="X338">
        <v>7.6734704464113549E-3</v>
      </c>
      <c r="Y338">
        <v>1.6756307920022505E-3</v>
      </c>
    </row>
    <row r="339" spans="1:25" x14ac:dyDescent="0.25">
      <c r="A339" s="1096"/>
      <c r="B339" s="1455">
        <v>89</v>
      </c>
      <c r="C339" s="1100">
        <v>1.0138326862056366</v>
      </c>
      <c r="D339" s="1100">
        <v>0.97426201330337825</v>
      </c>
      <c r="E339" s="1100">
        <v>0.98082116036281475</v>
      </c>
      <c r="F339" s="1100">
        <v>1.0227697176105821</v>
      </c>
      <c r="G339" s="1100">
        <v>1.0226721063299078</v>
      </c>
      <c r="H339" s="1100">
        <v>0.9851723473843137</v>
      </c>
      <c r="I339" s="1100">
        <v>0.98713133708692724</v>
      </c>
      <c r="K339">
        <v>1.3364511214593158</v>
      </c>
      <c r="L339">
        <v>0</v>
      </c>
      <c r="M339">
        <v>6.1406824495126181E-4</v>
      </c>
      <c r="N339">
        <v>5.3282539366730913E-2</v>
      </c>
      <c r="O339">
        <v>7.7316273914429749E-3</v>
      </c>
      <c r="P339">
        <v>1.6325229451868557E-2</v>
      </c>
      <c r="Q339">
        <v>4.390503060707521E-4</v>
      </c>
      <c r="R339">
        <v>6.1222896327336009E-4</v>
      </c>
      <c r="S339">
        <v>5.9342533775825497E-2</v>
      </c>
      <c r="T339">
        <v>1.056475244456567</v>
      </c>
      <c r="U339">
        <v>0</v>
      </c>
      <c r="V339">
        <v>9.8456613802582249E-2</v>
      </c>
      <c r="W339">
        <v>3.5407357928204368E-2</v>
      </c>
      <c r="X339">
        <v>7.3264788448936403E-3</v>
      </c>
      <c r="Y339">
        <v>1.6662854168065836E-3</v>
      </c>
    </row>
    <row r="340" spans="1:25" x14ac:dyDescent="0.25">
      <c r="A340" s="1096"/>
      <c r="B340" s="1455">
        <v>90</v>
      </c>
      <c r="C340" s="1100">
        <v>1.0077562254187706</v>
      </c>
      <c r="D340" s="1100">
        <v>1.0011269347169169</v>
      </c>
      <c r="E340" s="1100">
        <v>1.0047068890733095</v>
      </c>
      <c r="F340" s="1100">
        <v>0.99556552340566729</v>
      </c>
      <c r="G340" s="1100">
        <v>0.96813687420644967</v>
      </c>
      <c r="H340" s="1100">
        <v>1.0178858602673104</v>
      </c>
      <c r="I340" s="1100">
        <v>1.0137874612378222</v>
      </c>
      <c r="K340">
        <v>1.3114133348179351</v>
      </c>
      <c r="L340">
        <v>0</v>
      </c>
      <c r="M340">
        <v>6.0089091895960576E-4</v>
      </c>
      <c r="N340">
        <v>5.6048360935316989E-2</v>
      </c>
      <c r="O340">
        <v>7.6998829966210347E-3</v>
      </c>
      <c r="P340">
        <v>1.6221452241326127E-2</v>
      </c>
      <c r="Q340">
        <v>4.4791608455699658E-4</v>
      </c>
      <c r="R340">
        <v>5.9914895013798986E-4</v>
      </c>
      <c r="S340">
        <v>6.1449953617439906E-2</v>
      </c>
      <c r="T340">
        <v>1.0276615863154801</v>
      </c>
      <c r="U340">
        <v>0</v>
      </c>
      <c r="V340">
        <v>9.5992309950082802E-2</v>
      </c>
      <c r="W340">
        <v>3.6717293039925381E-2</v>
      </c>
      <c r="X340">
        <v>7.5456356731302054E-3</v>
      </c>
      <c r="Y340">
        <v>1.6306859328772776E-3</v>
      </c>
    </row>
    <row r="341" spans="1:25" x14ac:dyDescent="0.25">
      <c r="A341" s="1096"/>
      <c r="B341" s="1455">
        <v>91</v>
      </c>
      <c r="C341" s="1100">
        <v>0.99361971140060268</v>
      </c>
      <c r="D341" s="1100">
        <v>0.98144193805777502</v>
      </c>
      <c r="E341" s="1100">
        <v>0.98062482027234266</v>
      </c>
      <c r="F341" s="1100">
        <v>0.9911265750541467</v>
      </c>
      <c r="G341" s="1100">
        <v>0.97975856383080395</v>
      </c>
      <c r="H341" s="1100">
        <v>0.97470603604056572</v>
      </c>
      <c r="I341" s="1100">
        <v>0.99642627401803485</v>
      </c>
      <c r="K341">
        <v>1.3035469420053587</v>
      </c>
      <c r="L341">
        <v>0</v>
      </c>
      <c r="M341">
        <v>6.1833662975733182E-4</v>
      </c>
      <c r="N341">
        <v>5.3619314414577991E-2</v>
      </c>
      <c r="O341">
        <v>7.8657253791816952E-3</v>
      </c>
      <c r="P341">
        <v>1.5878616774329668E-2</v>
      </c>
      <c r="Q341">
        <v>4.4657613942480884E-4</v>
      </c>
      <c r="R341">
        <v>6.1646467590888057E-4</v>
      </c>
      <c r="S341">
        <v>6.0555896351761673E-2</v>
      </c>
      <c r="T341">
        <v>1.0237952017846828</v>
      </c>
      <c r="U341">
        <v>0</v>
      </c>
      <c r="V341">
        <v>9.6877755490754211E-2</v>
      </c>
      <c r="W341">
        <v>3.5635374038525028E-2</v>
      </c>
      <c r="X341">
        <v>7.1965399556724085E-3</v>
      </c>
      <c r="Y341">
        <v>1.6778136302981754E-3</v>
      </c>
    </row>
    <row r="342" spans="1:25" x14ac:dyDescent="0.25">
      <c r="A342" s="1096"/>
      <c r="B342" s="1455">
        <v>92</v>
      </c>
      <c r="C342" s="1100">
        <v>1.0111836805699232</v>
      </c>
      <c r="D342" s="1100">
        <v>0.96915729117010851</v>
      </c>
      <c r="E342" s="1100">
        <v>0.98313959516371829</v>
      </c>
      <c r="F342" s="1100">
        <v>0.9957952458302467</v>
      </c>
      <c r="G342" s="1100">
        <v>1.0079611776808548</v>
      </c>
      <c r="H342" s="1100">
        <v>0.97827607658755455</v>
      </c>
      <c r="I342" s="1100">
        <v>1.0272032670092612</v>
      </c>
      <c r="K342">
        <v>1.3099706760659462</v>
      </c>
      <c r="L342">
        <v>0</v>
      </c>
      <c r="M342">
        <v>6.0972221811786843E-4</v>
      </c>
      <c r="N342">
        <v>5.3276678547326962E-2</v>
      </c>
      <c r="O342">
        <v>7.7687567455830102E-3</v>
      </c>
      <c r="P342">
        <v>1.6003200603356131E-2</v>
      </c>
      <c r="Q342">
        <v>4.421983918544291E-4</v>
      </c>
      <c r="R342">
        <v>6.0788307974395214E-4</v>
      </c>
      <c r="S342">
        <v>6.1874337125828287E-2</v>
      </c>
      <c r="T342">
        <v>1.0285418638599779</v>
      </c>
      <c r="U342">
        <v>0</v>
      </c>
      <c r="V342">
        <v>9.7811616480390717E-2</v>
      </c>
      <c r="W342">
        <v>3.5354013375790659E-2</v>
      </c>
      <c r="X342">
        <v>7.2453927197506859E-3</v>
      </c>
      <c r="Y342">
        <v>1.6544573544596561E-3</v>
      </c>
    </row>
    <row r="343" spans="1:25" x14ac:dyDescent="0.25">
      <c r="A343" s="1096"/>
      <c r="B343" s="1455">
        <v>93</v>
      </c>
      <c r="C343" s="1100">
        <v>1.0203094379059467</v>
      </c>
      <c r="D343" s="1100">
        <v>0.99193371250931406</v>
      </c>
      <c r="E343" s="1100">
        <v>0.96335178031994728</v>
      </c>
      <c r="F343" s="1100">
        <v>0.97222881125593208</v>
      </c>
      <c r="G343" s="1100">
        <v>0.95234896078820253</v>
      </c>
      <c r="H343" s="1100">
        <v>0.97522693866856625</v>
      </c>
      <c r="I343" s="1100">
        <v>0.98140284517745802</v>
      </c>
      <c r="K343">
        <v>1.2748273970560078</v>
      </c>
      <c r="L343">
        <v>0</v>
      </c>
      <c r="M343">
        <v>6.2171274791660849E-4</v>
      </c>
      <c r="N343">
        <v>5.1165370429535936E-2</v>
      </c>
      <c r="O343">
        <v>7.623308384360648E-3</v>
      </c>
      <c r="P343">
        <v>1.5354245126780105E-2</v>
      </c>
      <c r="Q343">
        <v>4.2524721926469171E-4</v>
      </c>
      <c r="R343">
        <v>6.1983157853463941E-4</v>
      </c>
      <c r="S343">
        <v>5.7750398614664161E-2</v>
      </c>
      <c r="T343">
        <v>1.0047884768121054</v>
      </c>
      <c r="U343">
        <v>0</v>
      </c>
      <c r="V343">
        <v>9.4881031475770525E-2</v>
      </c>
      <c r="W343">
        <v>3.4363290543168216E-2</v>
      </c>
      <c r="X343">
        <v>6.7909323903943631E-3</v>
      </c>
      <c r="Y343">
        <v>1.6869772293463387E-3</v>
      </c>
    </row>
    <row r="344" spans="1:25" x14ac:dyDescent="0.25">
      <c r="A344" s="1096"/>
      <c r="B344" s="1455">
        <v>94</v>
      </c>
      <c r="C344" s="1100">
        <v>0.99365749544890325</v>
      </c>
      <c r="D344" s="1100">
        <v>1.0149746553499464</v>
      </c>
      <c r="E344" s="1100">
        <v>0.98109903549868271</v>
      </c>
      <c r="F344" s="1100">
        <v>1.008586027316027</v>
      </c>
      <c r="G344" s="1100">
        <v>1.0274970228848885</v>
      </c>
      <c r="H344" s="1100">
        <v>0.97783023402149505</v>
      </c>
      <c r="I344" s="1100">
        <v>1.0026946584699703</v>
      </c>
      <c r="K344">
        <v>1.3225952066886832</v>
      </c>
      <c r="L344">
        <v>0</v>
      </c>
      <c r="M344">
        <v>6.114150356230899E-4</v>
      </c>
      <c r="N344">
        <v>5.3095743002412106E-2</v>
      </c>
      <c r="O344">
        <v>7.7605504746882286E-3</v>
      </c>
      <c r="P344">
        <v>1.6149398623529237E-2</v>
      </c>
      <c r="Q344">
        <v>4.4081715687636431E-4</v>
      </c>
      <c r="R344">
        <v>6.0956995022649755E-4</v>
      </c>
      <c r="S344">
        <v>5.9938852943456425E-2</v>
      </c>
      <c r="T344">
        <v>1.0418156271224694</v>
      </c>
      <c r="U344">
        <v>0</v>
      </c>
      <c r="V344">
        <v>9.9186481885882111E-2</v>
      </c>
      <c r="W344">
        <v>3.5277312765312409E-2</v>
      </c>
      <c r="X344">
        <v>7.2732193396165589E-3</v>
      </c>
      <c r="Y344">
        <v>1.6590484598364395E-3</v>
      </c>
    </row>
    <row r="345" spans="1:25" x14ac:dyDescent="0.25">
      <c r="A345" s="1096"/>
      <c r="B345" s="1455">
        <v>95</v>
      </c>
      <c r="C345" s="1100">
        <v>1.0031182186674694</v>
      </c>
      <c r="D345" s="1100">
        <v>1.0224106522598506</v>
      </c>
      <c r="E345" s="1100">
        <v>1.0146047584807758</v>
      </c>
      <c r="F345" s="1100">
        <v>0.96872632410859982</v>
      </c>
      <c r="G345" s="1100">
        <v>1.0041521139531191</v>
      </c>
      <c r="H345" s="1100">
        <v>1.0358494542724908</v>
      </c>
      <c r="I345" s="1100">
        <v>0.98810502924435095</v>
      </c>
      <c r="K345">
        <v>1.285555992276965</v>
      </c>
      <c r="L345">
        <v>0</v>
      </c>
      <c r="M345">
        <v>5.967771952205145E-4</v>
      </c>
      <c r="N345">
        <v>5.735603941618498E-2</v>
      </c>
      <c r="O345">
        <v>7.6730692158542436E-3</v>
      </c>
      <c r="P345">
        <v>1.5961111739603545E-2</v>
      </c>
      <c r="Q345">
        <v>4.5079543531811086E-4</v>
      </c>
      <c r="R345">
        <v>5.9507715421913535E-4</v>
      </c>
      <c r="S345">
        <v>6.0042199565691012E-2</v>
      </c>
      <c r="T345">
        <v>0.99967447438931045</v>
      </c>
      <c r="U345">
        <v>0</v>
      </c>
      <c r="V345">
        <v>9.7859470322072331E-2</v>
      </c>
      <c r="W345">
        <v>3.7355230621621598E-2</v>
      </c>
      <c r="X345">
        <v>7.565697765655929E-3</v>
      </c>
      <c r="Y345">
        <v>1.6196038466533196E-3</v>
      </c>
    </row>
    <row r="346" spans="1:25" x14ac:dyDescent="0.25">
      <c r="A346" s="1096"/>
      <c r="B346" s="1455">
        <v>96</v>
      </c>
      <c r="C346" s="1100">
        <v>1.0043901791228012</v>
      </c>
      <c r="D346" s="1100">
        <v>1.0025470214450596</v>
      </c>
      <c r="E346" s="1100">
        <v>1.030627392375759</v>
      </c>
      <c r="F346" s="1100">
        <v>1.0044575126434705</v>
      </c>
      <c r="G346" s="1100">
        <v>0.99664368461247366</v>
      </c>
      <c r="H346" s="1100">
        <v>1.0168661211886634</v>
      </c>
      <c r="I346" s="1100">
        <v>0.98195983753147964</v>
      </c>
      <c r="K346">
        <v>1.3222464827801712</v>
      </c>
      <c r="L346">
        <v>0</v>
      </c>
      <c r="M346">
        <v>5.7036545157817988E-4</v>
      </c>
      <c r="N346">
        <v>5.7528807895483328E-2</v>
      </c>
      <c r="O346">
        <v>7.7276543420418649E-3</v>
      </c>
      <c r="P346">
        <v>1.6646589293962764E-2</v>
      </c>
      <c r="Q346">
        <v>4.6128141469185623E-4</v>
      </c>
      <c r="R346">
        <v>5.6871031722993779E-4</v>
      </c>
      <c r="S346">
        <v>5.9669524721812917E-2</v>
      </c>
      <c r="T346">
        <v>1.0360789421633305</v>
      </c>
      <c r="U346">
        <v>0</v>
      </c>
      <c r="V346">
        <v>9.7482900337874115E-2</v>
      </c>
      <c r="W346">
        <v>3.7118879310046628E-2</v>
      </c>
      <c r="X346">
        <v>7.9857164270804321E-3</v>
      </c>
      <c r="Y346">
        <v>1.547842008194201E-3</v>
      </c>
    </row>
    <row r="347" spans="1:25" x14ac:dyDescent="0.25">
      <c r="A347" s="1096"/>
      <c r="B347" s="1455">
        <v>97</v>
      </c>
      <c r="C347" s="1100">
        <v>0.98230942659463705</v>
      </c>
      <c r="D347" s="1100">
        <v>0.99912378765096022</v>
      </c>
      <c r="E347" s="1100">
        <v>1.0024612798102488</v>
      </c>
      <c r="F347" s="1100">
        <v>1.0399905253971651</v>
      </c>
      <c r="G347" s="1100">
        <v>1.0135370124000227</v>
      </c>
      <c r="H347" s="1100">
        <v>0.99215679891025643</v>
      </c>
      <c r="I347" s="1100">
        <v>0.98082267342298934</v>
      </c>
      <c r="K347">
        <v>1.3599876420174568</v>
      </c>
      <c r="L347">
        <v>0</v>
      </c>
      <c r="M347">
        <v>6.0416573468587826E-4</v>
      </c>
      <c r="N347">
        <v>5.5968663854587777E-2</v>
      </c>
      <c r="O347">
        <v>7.9051185272523902E-3</v>
      </c>
      <c r="P347">
        <v>1.6844496614151792E-2</v>
      </c>
      <c r="Q347">
        <v>4.5882022454207301E-4</v>
      </c>
      <c r="R347">
        <v>6.0236885252902095E-4</v>
      </c>
      <c r="S347">
        <v>6.0270356463591454E-2</v>
      </c>
      <c r="T347">
        <v>1.0735880715837847</v>
      </c>
      <c r="U347">
        <v>0</v>
      </c>
      <c r="V347">
        <v>9.8823269748006759E-2</v>
      </c>
      <c r="W347">
        <v>3.6713913420014253E-2</v>
      </c>
      <c r="X347">
        <v>7.7772790179364811E-3</v>
      </c>
      <c r="Y347">
        <v>1.639449445745126E-3</v>
      </c>
    </row>
    <row r="348" spans="1:25" x14ac:dyDescent="0.25">
      <c r="A348" s="1096"/>
      <c r="B348" s="1455">
        <v>98</v>
      </c>
      <c r="C348" s="1100">
        <v>1.0081158784679836</v>
      </c>
      <c r="D348" s="1100">
        <v>1.0118405419941561</v>
      </c>
      <c r="E348" s="1100">
        <v>1.0006049415266374</v>
      </c>
      <c r="F348" s="1100">
        <v>0.9881975565057648</v>
      </c>
      <c r="G348" s="1100">
        <v>0.95926900821210648</v>
      </c>
      <c r="H348" s="1100">
        <v>0.97715163454428677</v>
      </c>
      <c r="I348" s="1100">
        <v>1.0060094715966443</v>
      </c>
      <c r="K348">
        <v>1.2965970518140704</v>
      </c>
      <c r="L348">
        <v>0</v>
      </c>
      <c r="M348">
        <v>5.7909682543227773E-4</v>
      </c>
      <c r="N348">
        <v>5.3343894142346068E-2</v>
      </c>
      <c r="O348">
        <v>7.6634376840642171E-3</v>
      </c>
      <c r="P348">
        <v>1.6035448207279895E-2</v>
      </c>
      <c r="Q348">
        <v>4.4396436384898304E-4</v>
      </c>
      <c r="R348">
        <v>5.7734805404185312E-4</v>
      </c>
      <c r="S348">
        <v>5.9371206898317923E-2</v>
      </c>
      <c r="T348">
        <v>1.020176416508874</v>
      </c>
      <c r="U348">
        <v>0</v>
      </c>
      <c r="V348">
        <v>9.5550007476065887E-2</v>
      </c>
      <c r="W348">
        <v>3.5030717836277113E-2</v>
      </c>
      <c r="X348">
        <v>7.4123563880201899E-3</v>
      </c>
      <c r="Y348">
        <v>1.5713510803670597E-3</v>
      </c>
    </row>
    <row r="349" spans="1:25" x14ac:dyDescent="0.25">
      <c r="A349" s="1096"/>
      <c r="B349" s="1455">
        <v>99</v>
      </c>
      <c r="C349" s="1100">
        <v>1.0156716551605351</v>
      </c>
      <c r="D349" s="1100">
        <v>1.0190597229559681</v>
      </c>
      <c r="E349" s="1100">
        <v>1.0204195515756012</v>
      </c>
      <c r="F349" s="1100">
        <v>0.99770069253321592</v>
      </c>
      <c r="G349" s="1100">
        <v>0.95683176792014157</v>
      </c>
      <c r="H349" s="1100">
        <v>0.96824346896495384</v>
      </c>
      <c r="I349" s="1100">
        <v>0.97401824495606781</v>
      </c>
      <c r="K349">
        <v>1.3027456514247662</v>
      </c>
      <c r="L349">
        <v>0</v>
      </c>
      <c r="M349">
        <v>5.4502552339465052E-4</v>
      </c>
      <c r="N349">
        <v>5.3298736005723539E-2</v>
      </c>
      <c r="O349">
        <v>7.5895884657162732E-3</v>
      </c>
      <c r="P349">
        <v>1.6357499112096625E-2</v>
      </c>
      <c r="Q349">
        <v>4.4847951291254084E-4</v>
      </c>
      <c r="R349">
        <v>5.4336449872469962E-4</v>
      </c>
      <c r="S349">
        <v>5.659717492138451E-2</v>
      </c>
      <c r="T349">
        <v>1.0294048337617658</v>
      </c>
      <c r="U349">
        <v>0</v>
      </c>
      <c r="V349">
        <v>9.5271023340628092E-2</v>
      </c>
      <c r="W349">
        <v>3.4594641013732941E-2</v>
      </c>
      <c r="X349">
        <v>7.7064772700057172E-3</v>
      </c>
      <c r="Y349">
        <v>1.4788590454697676E-3</v>
      </c>
    </row>
    <row r="350" spans="1:25" x14ac:dyDescent="0.25">
      <c r="A350" s="1096"/>
      <c r="B350" s="1455">
        <v>100</v>
      </c>
      <c r="C350" s="1100">
        <v>0.97225570115255033</v>
      </c>
      <c r="D350" s="1100">
        <v>1.0161249015992524</v>
      </c>
      <c r="E350" s="1100">
        <v>0.98982839265270395</v>
      </c>
      <c r="F350" s="1100">
        <v>0.98945021880594752</v>
      </c>
      <c r="G350" s="1100">
        <v>1.0013371567141263</v>
      </c>
      <c r="H350" s="1100">
        <v>0.99122813128933684</v>
      </c>
      <c r="I350" s="1100">
        <v>1.0041847755005855</v>
      </c>
      <c r="K350">
        <v>1.307523757210334</v>
      </c>
      <c r="L350">
        <v>0</v>
      </c>
      <c r="M350">
        <v>6.2181287714506157E-4</v>
      </c>
      <c r="N350">
        <v>5.5445598371611213E-2</v>
      </c>
      <c r="O350">
        <v>7.9299720382423108E-3</v>
      </c>
      <c r="P350">
        <v>1.6000070626626457E-2</v>
      </c>
      <c r="Q350">
        <v>4.5444278458276215E-4</v>
      </c>
      <c r="R350">
        <v>6.1996177701618786E-4</v>
      </c>
      <c r="S350">
        <v>6.1740353789260911E-2</v>
      </c>
      <c r="T350">
        <v>1.0217885182270807</v>
      </c>
      <c r="U350">
        <v>0</v>
      </c>
      <c r="V350">
        <v>9.8479741148914779E-2</v>
      </c>
      <c r="W350">
        <v>3.6645747708411273E-2</v>
      </c>
      <c r="X350">
        <v>7.353832029037854E-3</v>
      </c>
      <c r="Y350">
        <v>1.6873315866931958E-3</v>
      </c>
    </row>
    <row r="351" spans="1:25" x14ac:dyDescent="0.25">
      <c r="A351" s="1096"/>
      <c r="B351" s="1455">
        <v>101</v>
      </c>
      <c r="C351" s="1100">
        <v>1.0078081871194222</v>
      </c>
      <c r="D351" s="1100">
        <v>1.0264855635040793</v>
      </c>
      <c r="E351" s="1100">
        <v>1.0085274227370127</v>
      </c>
      <c r="F351" s="1100">
        <v>0.98445080564953613</v>
      </c>
      <c r="G351" s="1100">
        <v>0.9816471757197488</v>
      </c>
      <c r="H351" s="1100">
        <v>1.0147647132616457</v>
      </c>
      <c r="I351" s="1100">
        <v>0.99691739133142376</v>
      </c>
      <c r="K351">
        <v>1.2973376900578129</v>
      </c>
      <c r="L351">
        <v>0</v>
      </c>
      <c r="M351">
        <v>5.8836761371041052E-4</v>
      </c>
      <c r="N351">
        <v>5.551657021981115E-2</v>
      </c>
      <c r="O351">
        <v>7.6237521812736247E-3</v>
      </c>
      <c r="P351">
        <v>1.6091153262395699E-2</v>
      </c>
      <c r="Q351">
        <v>4.451875822818396E-4</v>
      </c>
      <c r="R351">
        <v>5.8665670348987873E-4</v>
      </c>
      <c r="S351">
        <v>5.9531788879556416E-2</v>
      </c>
      <c r="T351">
        <v>1.016077331442421</v>
      </c>
      <c r="U351">
        <v>0</v>
      </c>
      <c r="V351">
        <v>9.6648888630904692E-2</v>
      </c>
      <c r="W351">
        <v>3.6286856048632701E-2</v>
      </c>
      <c r="X351">
        <v>7.5211865651878002E-3</v>
      </c>
      <c r="Y351">
        <v>1.5966861555691189E-3</v>
      </c>
    </row>
    <row r="352" spans="1:25" x14ac:dyDescent="0.25">
      <c r="A352" s="1096"/>
      <c r="B352" s="1455">
        <v>102</v>
      </c>
      <c r="C352" s="1100">
        <v>0.97417062856642544</v>
      </c>
      <c r="D352" s="1100">
        <v>1.0419466877263486</v>
      </c>
      <c r="E352" s="1100">
        <v>0.99912386918948026</v>
      </c>
      <c r="F352" s="1100">
        <v>0.98098164015225375</v>
      </c>
      <c r="G352" s="1100">
        <v>0.97158773539353016</v>
      </c>
      <c r="H352" s="1100">
        <v>0.98603156742200093</v>
      </c>
      <c r="I352" s="1100">
        <v>1.0058137860831025</v>
      </c>
      <c r="K352">
        <v>1.294914548940618</v>
      </c>
      <c r="L352">
        <v>0</v>
      </c>
      <c r="M352">
        <v>5.9950982633803697E-4</v>
      </c>
      <c r="N352">
        <v>5.4979192180639638E-2</v>
      </c>
      <c r="O352">
        <v>7.8376405775750051E-3</v>
      </c>
      <c r="P352">
        <v>1.5955274418121092E-2</v>
      </c>
      <c r="Q352">
        <v>4.533809032219235E-4</v>
      </c>
      <c r="R352">
        <v>5.9771571535321066E-4</v>
      </c>
      <c r="S352">
        <v>6.0742135276568056E-2</v>
      </c>
      <c r="T352">
        <v>1.0127702390668698</v>
      </c>
      <c r="U352">
        <v>0</v>
      </c>
      <c r="V352">
        <v>9.7000919558999282E-2</v>
      </c>
      <c r="W352">
        <v>3.6136410536028153E-2</v>
      </c>
      <c r="X352">
        <v>7.4143653933208863E-3</v>
      </c>
      <c r="Y352">
        <v>1.6267851402588277E-3</v>
      </c>
    </row>
    <row r="353" spans="1:25" x14ac:dyDescent="0.25">
      <c r="A353" s="1096"/>
      <c r="B353" s="1455">
        <v>103</v>
      </c>
      <c r="C353" s="1100">
        <v>0.98106975607136715</v>
      </c>
      <c r="D353" s="1100">
        <v>1.0144858389978313</v>
      </c>
      <c r="E353" s="1100">
        <v>0.96781439283957627</v>
      </c>
      <c r="F353" s="1100">
        <v>0.98961895772855935</v>
      </c>
      <c r="G353" s="1100">
        <v>1.0254029369002253</v>
      </c>
      <c r="H353" s="1100">
        <v>0.99853235206948809</v>
      </c>
      <c r="I353" s="1100">
        <v>0.9909221130304029</v>
      </c>
      <c r="K353">
        <v>1.3060264077149881</v>
      </c>
      <c r="L353">
        <v>0</v>
      </c>
      <c r="M353">
        <v>6.5009176590867794E-4</v>
      </c>
      <c r="N353">
        <v>5.4232796417840935E-2</v>
      </c>
      <c r="O353">
        <v>7.8583466619836072E-3</v>
      </c>
      <c r="P353">
        <v>1.5742931241984375E-2</v>
      </c>
      <c r="Q353">
        <v>4.4036717829061165E-4</v>
      </c>
      <c r="R353">
        <v>6.4817063772540449E-4</v>
      </c>
      <c r="S353">
        <v>6.0632368568386469E-2</v>
      </c>
      <c r="T353">
        <v>1.0226250121558718</v>
      </c>
      <c r="U353">
        <v>0</v>
      </c>
      <c r="V353">
        <v>9.939022555863547E-2</v>
      </c>
      <c r="W353">
        <v>3.6324269369569208E-2</v>
      </c>
      <c r="X353">
        <v>7.0179048841120945E-3</v>
      </c>
      <c r="Y353">
        <v>1.7641068064952498E-3</v>
      </c>
    </row>
    <row r="354" spans="1:25" x14ac:dyDescent="0.25">
      <c r="A354" s="1096"/>
      <c r="B354" s="1455">
        <v>104</v>
      </c>
      <c r="C354" s="1100">
        <v>0.97432377415954363</v>
      </c>
      <c r="D354" s="1100">
        <v>0.98252273571307258</v>
      </c>
      <c r="E354" s="1100">
        <v>1.0097023432241048</v>
      </c>
      <c r="F354" s="1100">
        <v>1.0084417903973892</v>
      </c>
      <c r="G354" s="1100">
        <v>0.98462786854243123</v>
      </c>
      <c r="H354" s="1100">
        <v>0.97909097287599578</v>
      </c>
      <c r="I354" s="1100">
        <v>1.0053919619116665</v>
      </c>
      <c r="K354">
        <v>1.3285614917992061</v>
      </c>
      <c r="L354">
        <v>0</v>
      </c>
      <c r="M354">
        <v>5.9610834098526837E-4</v>
      </c>
      <c r="N354">
        <v>5.6440843452191469E-2</v>
      </c>
      <c r="O354">
        <v>8.0253430021115357E-3</v>
      </c>
      <c r="P354">
        <v>1.6498459431305384E-2</v>
      </c>
      <c r="Q354">
        <v>4.6918940978570511E-4</v>
      </c>
      <c r="R354">
        <v>5.9431176342629151E-4</v>
      </c>
      <c r="S354">
        <v>6.2442256727356982E-2</v>
      </c>
      <c r="T354">
        <v>1.0408041065389069</v>
      </c>
      <c r="U354">
        <v>0</v>
      </c>
      <c r="V354">
        <v>9.7639642593212381E-2</v>
      </c>
      <c r="W354">
        <v>3.6865413567712772E-2</v>
      </c>
      <c r="X354">
        <v>7.7605129489558547E-3</v>
      </c>
      <c r="Y354">
        <v>1.6175207052262052E-3</v>
      </c>
    </row>
    <row r="355" spans="1:25" x14ac:dyDescent="0.25">
      <c r="A355" s="1096"/>
      <c r="B355" s="1455">
        <v>105</v>
      </c>
      <c r="C355" s="1100">
        <v>1.014629562896628</v>
      </c>
      <c r="D355" s="1100">
        <v>1.0038634445167121</v>
      </c>
      <c r="E355" s="1100">
        <v>1.0083020889655967</v>
      </c>
      <c r="F355" s="1100">
        <v>1.0241547674372731</v>
      </c>
      <c r="G355" s="1100">
        <v>0.99740032224800135</v>
      </c>
      <c r="H355" s="1100">
        <v>1.0074580867926111</v>
      </c>
      <c r="I355" s="1100">
        <v>1.0332709089478009</v>
      </c>
      <c r="K355">
        <v>1.3415198593205924</v>
      </c>
      <c r="L355">
        <v>0</v>
      </c>
      <c r="M355">
        <v>5.8567313044271012E-4</v>
      </c>
      <c r="N355">
        <v>5.5223573383165164E-2</v>
      </c>
      <c r="O355">
        <v>7.6402456975702311E-3</v>
      </c>
      <c r="P355">
        <v>1.669021352769428E-2</v>
      </c>
      <c r="Q355">
        <v>4.4605014491759168E-4</v>
      </c>
      <c r="R355">
        <v>5.8395770387881024E-4</v>
      </c>
      <c r="S355">
        <v>6.1795660102832613E-2</v>
      </c>
      <c r="T355">
        <v>1.0570636363900694</v>
      </c>
      <c r="U355">
        <v>0</v>
      </c>
      <c r="V355">
        <v>9.7245421251909478E-2</v>
      </c>
      <c r="W355">
        <v>3.610014929269937E-2</v>
      </c>
      <c r="X355">
        <v>7.727284587943398E-3</v>
      </c>
      <c r="Y355">
        <v>1.5893403683527739E-3</v>
      </c>
    </row>
    <row r="356" spans="1:25" x14ac:dyDescent="0.25">
      <c r="A356" s="1096"/>
      <c r="B356" s="1455">
        <v>106</v>
      </c>
      <c r="C356" s="1100">
        <v>0.96097938843967723</v>
      </c>
      <c r="D356" s="1100">
        <v>0.9999109305046201</v>
      </c>
      <c r="E356" s="1100">
        <v>1.0126548358067362</v>
      </c>
      <c r="F356" s="1100">
        <v>0.98518642116537969</v>
      </c>
      <c r="G356" s="1100">
        <v>1.0099868502716169</v>
      </c>
      <c r="H356" s="1100">
        <v>1.0180339781502905</v>
      </c>
      <c r="I356" s="1100">
        <v>0.96563954900683713</v>
      </c>
      <c r="K356">
        <v>1.3094401746364512</v>
      </c>
      <c r="L356">
        <v>0</v>
      </c>
      <c r="M356">
        <v>6.2021434441620249E-4</v>
      </c>
      <c r="N356">
        <v>5.925583193421851E-2</v>
      </c>
      <c r="O356">
        <v>8.0806436420922563E-3</v>
      </c>
      <c r="P356">
        <v>1.6210764397395046E-2</v>
      </c>
      <c r="Q356">
        <v>4.7381794776863015E-4</v>
      </c>
      <c r="R356">
        <v>6.1841661902927196E-4</v>
      </c>
      <c r="S356">
        <v>6.143295668899753E-2</v>
      </c>
      <c r="T356">
        <v>1.016716827672361</v>
      </c>
      <c r="U356">
        <v>0</v>
      </c>
      <c r="V356">
        <v>9.9223142440485398E-2</v>
      </c>
      <c r="W356">
        <v>3.8636813673320815E-2</v>
      </c>
      <c r="X356">
        <v>7.7280477891835293E-3</v>
      </c>
      <c r="Y356">
        <v>1.683126176014004E-3</v>
      </c>
    </row>
    <row r="357" spans="1:25" x14ac:dyDescent="0.25">
      <c r="A357" s="1096"/>
      <c r="B357" s="1455">
        <v>107</v>
      </c>
      <c r="C357" s="1100">
        <v>0.97207782802878528</v>
      </c>
      <c r="D357" s="1100">
        <v>0.97029896466533982</v>
      </c>
      <c r="E357" s="1100">
        <v>0.98374450726396911</v>
      </c>
      <c r="F357" s="1100">
        <v>0.99979183322692744</v>
      </c>
      <c r="G357" s="1100">
        <v>1.0155816193605145</v>
      </c>
      <c r="H357" s="1100">
        <v>0.98054799221368405</v>
      </c>
      <c r="I357" s="1100">
        <v>0.98341517271445289</v>
      </c>
      <c r="K357">
        <v>1.3195639536513883</v>
      </c>
      <c r="L357">
        <v>0</v>
      </c>
      <c r="M357">
        <v>6.3462972655041569E-4</v>
      </c>
      <c r="N357">
        <v>5.555501202579588E-2</v>
      </c>
      <c r="O357">
        <v>8.0776365422934385E-3</v>
      </c>
      <c r="P357">
        <v>1.6081178087208423E-2</v>
      </c>
      <c r="Q357">
        <v>4.6006209304237129E-4</v>
      </c>
      <c r="R357">
        <v>6.3271989363270116E-4</v>
      </c>
      <c r="S357">
        <v>6.1652314902912626E-2</v>
      </c>
      <c r="T357">
        <v>1.0326515779719709</v>
      </c>
      <c r="U357">
        <v>0</v>
      </c>
      <c r="V357">
        <v>9.9166609072523643E-2</v>
      </c>
      <c r="W357">
        <v>3.6852472253255303E-2</v>
      </c>
      <c r="X357">
        <v>7.346945560889509E-3</v>
      </c>
      <c r="Y357">
        <v>1.7220549744113322E-3</v>
      </c>
    </row>
    <row r="358" spans="1:25" x14ac:dyDescent="0.25">
      <c r="A358" s="1096"/>
      <c r="B358" s="1455">
        <v>108</v>
      </c>
      <c r="C358" s="1100">
        <v>0.98744273397787441</v>
      </c>
      <c r="D358" s="1100">
        <v>0.98039656718222479</v>
      </c>
      <c r="E358" s="1100">
        <v>0.9998013011200747</v>
      </c>
      <c r="F358" s="1100">
        <v>1.002654953246942</v>
      </c>
      <c r="G358" s="1100">
        <v>0.99213128110110671</v>
      </c>
      <c r="H358" s="1100">
        <v>0.97211423302060185</v>
      </c>
      <c r="I358" s="1100">
        <v>1.0127897631309493</v>
      </c>
      <c r="K358">
        <v>1.3193802648095421</v>
      </c>
      <c r="L358">
        <v>0</v>
      </c>
      <c r="M358">
        <v>5.9664110171807935E-4</v>
      </c>
      <c r="N358">
        <v>5.4825859003182806E-2</v>
      </c>
      <c r="O358">
        <v>7.9231019967188881E-3</v>
      </c>
      <c r="P358">
        <v>1.6293018031925292E-2</v>
      </c>
      <c r="Q358">
        <v>4.586368471726009E-4</v>
      </c>
      <c r="R358">
        <v>5.9483001316976885E-4</v>
      </c>
      <c r="S358">
        <v>6.1908272821502346E-2</v>
      </c>
      <c r="T358">
        <v>1.0351256451830144</v>
      </c>
      <c r="U358">
        <v>0</v>
      </c>
      <c r="V358">
        <v>9.7653572641887995E-2</v>
      </c>
      <c r="W358">
        <v>3.6021116374291132E-2</v>
      </c>
      <c r="X358">
        <v>7.5539217882071418E-3</v>
      </c>
      <c r="Y358">
        <v>1.6189312101869686E-3</v>
      </c>
    </row>
    <row r="359" spans="1:25" x14ac:dyDescent="0.25">
      <c r="A359" s="1096"/>
      <c r="B359" s="1455">
        <v>109</v>
      </c>
      <c r="C359" s="1100">
        <v>1.0036407768959263</v>
      </c>
      <c r="D359" s="1100">
        <v>1.0091041570477288</v>
      </c>
      <c r="E359" s="1100">
        <v>0.99433986814433051</v>
      </c>
      <c r="F359" s="1100">
        <v>0.97462719074751436</v>
      </c>
      <c r="G359" s="1100">
        <v>0.99018849413026722</v>
      </c>
      <c r="H359" s="1100">
        <v>0.99779775288955763</v>
      </c>
      <c r="I359" s="1100">
        <v>1.0006253082310332</v>
      </c>
      <c r="K359">
        <v>1.2867328220759988</v>
      </c>
      <c r="L359">
        <v>0</v>
      </c>
      <c r="M359">
        <v>6.0238765941650514E-4</v>
      </c>
      <c r="N359">
        <v>5.4452134071242754E-2</v>
      </c>
      <c r="O359">
        <v>7.7044244015429687E-3</v>
      </c>
      <c r="P359">
        <v>1.5803291821434667E-2</v>
      </c>
      <c r="Q359">
        <v>4.4353292897295076E-4</v>
      </c>
      <c r="R359">
        <v>6.0060619413432434E-4</v>
      </c>
      <c r="S359">
        <v>6.002339438493659E-2</v>
      </c>
      <c r="T359">
        <v>1.0063491119949994</v>
      </c>
      <c r="U359">
        <v>0</v>
      </c>
      <c r="V359">
        <v>9.7148461437451442E-2</v>
      </c>
      <c r="W359">
        <v>3.5892160809444948E-2</v>
      </c>
      <c r="X359">
        <v>7.2834396205999456E-3</v>
      </c>
      <c r="Y359">
        <v>1.6346520706549455E-3</v>
      </c>
    </row>
    <row r="360" spans="1:25" x14ac:dyDescent="0.25">
      <c r="A360" s="1096"/>
      <c r="B360" s="1455">
        <v>110</v>
      </c>
      <c r="C360" s="1100">
        <v>0.99852710942604572</v>
      </c>
      <c r="D360" s="1100">
        <v>1.0202594197428247</v>
      </c>
      <c r="E360" s="1100">
        <v>0.99655940110106045</v>
      </c>
      <c r="F360" s="1100">
        <v>1.0302901055092661</v>
      </c>
      <c r="G360" s="1100">
        <v>0.97490066006165232</v>
      </c>
      <c r="H360" s="1100">
        <v>1.0009018887759271</v>
      </c>
      <c r="I360" s="1100">
        <v>1.0039333731235267</v>
      </c>
      <c r="K360">
        <v>1.3453785186205072</v>
      </c>
      <c r="L360">
        <v>0</v>
      </c>
      <c r="M360">
        <v>6.019155626307101E-4</v>
      </c>
      <c r="N360">
        <v>5.4776164956298008E-2</v>
      </c>
      <c r="O360">
        <v>7.7104416680257226E-3</v>
      </c>
      <c r="P360">
        <v>1.6605599453480814E-2</v>
      </c>
      <c r="Q360">
        <v>4.4487325191691293E-4</v>
      </c>
      <c r="R360">
        <v>6.0014101409687026E-4</v>
      </c>
      <c r="S360">
        <v>6.0271237616235519E-2</v>
      </c>
      <c r="T360">
        <v>1.0637553533618573</v>
      </c>
      <c r="U360">
        <v>0</v>
      </c>
      <c r="V360">
        <v>9.6537813618354104E-2</v>
      </c>
      <c r="W360">
        <v>3.605797653818333E-2</v>
      </c>
      <c r="X360">
        <v>7.5874467007489965E-3</v>
      </c>
      <c r="Y360">
        <v>1.6333860039395535E-3</v>
      </c>
    </row>
    <row r="361" spans="1:25" x14ac:dyDescent="0.25">
      <c r="A361" s="1096"/>
      <c r="B361" s="1455">
        <v>111</v>
      </c>
      <c r="C361" s="1100">
        <v>0.98658274271957491</v>
      </c>
      <c r="D361" s="1100">
        <v>1.0052942812594201</v>
      </c>
      <c r="E361" s="1100">
        <v>1.0163727256465009</v>
      </c>
      <c r="F361" s="1100">
        <v>1.0257966701034318</v>
      </c>
      <c r="G361" s="1100">
        <v>1.012426689538207</v>
      </c>
      <c r="H361" s="1100">
        <v>1.0151935703019532</v>
      </c>
      <c r="I361" s="1100">
        <v>0.98150602749430105</v>
      </c>
      <c r="K361">
        <v>1.3475519149318125</v>
      </c>
      <c r="L361">
        <v>0</v>
      </c>
      <c r="M361">
        <v>5.9651232269693449E-4</v>
      </c>
      <c r="N361">
        <v>5.7633927890022592E-2</v>
      </c>
      <c r="O361">
        <v>7.8549768486421822E-3</v>
      </c>
      <c r="P361">
        <v>1.6812699011872476E-2</v>
      </c>
      <c r="Q361">
        <v>4.6229641370298111E-4</v>
      </c>
      <c r="R361">
        <v>5.9477846129168911E-4</v>
      </c>
      <c r="S361">
        <v>6.0564925599730576E-2</v>
      </c>
      <c r="T361">
        <v>1.0585149153167659</v>
      </c>
      <c r="U361">
        <v>0</v>
      </c>
      <c r="V361">
        <v>9.8675985723205781E-2</v>
      </c>
      <c r="W361">
        <v>3.7497272138920477E-2</v>
      </c>
      <c r="X361">
        <v>7.9178589473837685E-3</v>
      </c>
      <c r="Y361">
        <v>1.6187909029689075E-3</v>
      </c>
    </row>
    <row r="362" spans="1:25" x14ac:dyDescent="0.25">
      <c r="A362" s="1096"/>
      <c r="B362" s="1455">
        <v>112</v>
      </c>
      <c r="C362" s="1100">
        <v>1.0060328531050087</v>
      </c>
      <c r="D362" s="1100">
        <v>0.98013185701813177</v>
      </c>
      <c r="E362" s="1100">
        <v>1.0143604311401646</v>
      </c>
      <c r="F362" s="1100">
        <v>0.96716763337197864</v>
      </c>
      <c r="G362" s="1100">
        <v>0.99963216749575678</v>
      </c>
      <c r="H362" s="1100">
        <v>1.0199975301360957</v>
      </c>
      <c r="I362" s="1100">
        <v>1.0065594676247012</v>
      </c>
      <c r="K362">
        <v>1.2854798295465271</v>
      </c>
      <c r="L362">
        <v>0</v>
      </c>
      <c r="M362">
        <v>5.9622693458179156E-4</v>
      </c>
      <c r="N362">
        <v>5.7258373073063328E-2</v>
      </c>
      <c r="O362">
        <v>7.7811189267727272E-3</v>
      </c>
      <c r="P362">
        <v>1.5957621021960383E-2</v>
      </c>
      <c r="Q362">
        <v>4.5703202973419157E-4</v>
      </c>
      <c r="R362">
        <v>5.9450206489600492E-4</v>
      </c>
      <c r="S362">
        <v>6.1888500669306241E-2</v>
      </c>
      <c r="T362">
        <v>0.99807291965687828</v>
      </c>
      <c r="U362">
        <v>0</v>
      </c>
      <c r="V362">
        <v>9.7568920947690402E-2</v>
      </c>
      <c r="W362">
        <v>3.7296976026790746E-2</v>
      </c>
      <c r="X362">
        <v>7.5820534209201061E-3</v>
      </c>
      <c r="Y362">
        <v>1.618038643093903E-3</v>
      </c>
    </row>
    <row r="363" spans="1:25" x14ac:dyDescent="0.25">
      <c r="A363" s="1096"/>
      <c r="B363" s="1455">
        <v>113</v>
      </c>
      <c r="C363" s="1100">
        <v>1.0261915128865244</v>
      </c>
      <c r="D363" s="1100">
        <v>1.0058121779967184</v>
      </c>
      <c r="E363" s="1100">
        <v>1.0176460375962364</v>
      </c>
      <c r="F363" s="1100">
        <v>1.0049646164345027</v>
      </c>
      <c r="G363" s="1100">
        <v>0.99701916177521688</v>
      </c>
      <c r="H363" s="1100">
        <v>1.0258844989727993</v>
      </c>
      <c r="I363" s="1100">
        <v>0.97997448724759428</v>
      </c>
      <c r="K363">
        <v>1.3186452267320588</v>
      </c>
      <c r="L363">
        <v>0</v>
      </c>
      <c r="M363">
        <v>5.778759003746037E-4</v>
      </c>
      <c r="N363">
        <v>5.6049946172766152E-2</v>
      </c>
      <c r="O363">
        <v>7.5505408087850273E-3</v>
      </c>
      <c r="P363">
        <v>1.6477700514987929E-2</v>
      </c>
      <c r="Q363">
        <v>4.4494295452653516E-4</v>
      </c>
      <c r="R363">
        <v>5.7621371317409422E-4</v>
      </c>
      <c r="S363">
        <v>5.8432681684173565E-2</v>
      </c>
      <c r="T363">
        <v>1.0369809724380907</v>
      </c>
      <c r="U363">
        <v>0</v>
      </c>
      <c r="V363">
        <v>9.6962121217991123E-2</v>
      </c>
      <c r="W363">
        <v>3.6439496204163674E-2</v>
      </c>
      <c r="X363">
        <v>7.7402231453123889E-3</v>
      </c>
      <c r="Y363">
        <v>1.5682637784603867E-3</v>
      </c>
    </row>
    <row r="364" spans="1:25" x14ac:dyDescent="0.25">
      <c r="A364" s="1096"/>
      <c r="B364" s="1455">
        <v>114</v>
      </c>
      <c r="C364" s="1100">
        <v>1.0103742945763114</v>
      </c>
      <c r="D364" s="1100">
        <v>1.037825421166684</v>
      </c>
      <c r="E364" s="1100">
        <v>0.98436931668019767</v>
      </c>
      <c r="F364" s="1100">
        <v>0.96726076284252294</v>
      </c>
      <c r="G364" s="1100">
        <v>1.0104180229557149</v>
      </c>
      <c r="H364" s="1100">
        <v>0.99677080396355233</v>
      </c>
      <c r="I364" s="1100">
        <v>0.99225118935615741</v>
      </c>
      <c r="K364">
        <v>1.2754794248972421</v>
      </c>
      <c r="L364">
        <v>0</v>
      </c>
      <c r="M364">
        <v>6.0341577612487243E-4</v>
      </c>
      <c r="N364">
        <v>5.2925089619227046E-2</v>
      </c>
      <c r="O364">
        <v>7.5652646694333138E-3</v>
      </c>
      <c r="P364">
        <v>1.5572696582555601E-2</v>
      </c>
      <c r="Q364">
        <v>4.3115303605071329E-4</v>
      </c>
      <c r="R364">
        <v>6.0162943181847801E-4</v>
      </c>
      <c r="S364">
        <v>5.820227440606944E-2</v>
      </c>
      <c r="T364">
        <v>0.99903304593706754</v>
      </c>
      <c r="U364">
        <v>0</v>
      </c>
      <c r="V364">
        <v>9.7951448010951375E-2</v>
      </c>
      <c r="W364">
        <v>3.5094710288975421E-2</v>
      </c>
      <c r="X364">
        <v>7.0680917048979624E-3</v>
      </c>
      <c r="Y364">
        <v>1.6374369863209994E-3</v>
      </c>
    </row>
    <row r="365" spans="1:25" x14ac:dyDescent="0.25">
      <c r="A365" s="1096"/>
      <c r="B365" s="1455">
        <v>115</v>
      </c>
      <c r="C365" s="1100">
        <v>0.98508856999781957</v>
      </c>
      <c r="D365" s="1100">
        <v>1.0111681464876103</v>
      </c>
      <c r="E365" s="1100">
        <v>1.0101877666338392</v>
      </c>
      <c r="F365" s="1100">
        <v>0.95748750854031017</v>
      </c>
      <c r="G365" s="1100">
        <v>0.99691697221068853</v>
      </c>
      <c r="H365" s="1100">
        <v>1.0297285149547457</v>
      </c>
      <c r="I365" s="1100">
        <v>1.0061458342117033</v>
      </c>
      <c r="K365">
        <v>1.2778362024720304</v>
      </c>
      <c r="L365">
        <v>0</v>
      </c>
      <c r="M365">
        <v>6.1238230577533134E-4</v>
      </c>
      <c r="N365">
        <v>5.8075364402487721E-2</v>
      </c>
      <c r="O365">
        <v>7.847042228410591E-3</v>
      </c>
      <c r="P365">
        <v>1.5785690463972012E-2</v>
      </c>
      <c r="Q365">
        <v>4.5898800339398531E-4</v>
      </c>
      <c r="R365">
        <v>6.1062744077330813E-4</v>
      </c>
      <c r="S365">
        <v>6.2431180920779261E-2</v>
      </c>
      <c r="T365">
        <v>0.98820093318118829</v>
      </c>
      <c r="U365">
        <v>0</v>
      </c>
      <c r="V365">
        <v>9.7956734143095706E-2</v>
      </c>
      <c r="W365">
        <v>3.7922175141059625E-2</v>
      </c>
      <c r="X365">
        <v>7.4979222521407022E-3</v>
      </c>
      <c r="Y365">
        <v>1.6619266005031923E-3</v>
      </c>
    </row>
    <row r="366" spans="1:25" x14ac:dyDescent="0.25">
      <c r="A366" s="1096"/>
      <c r="B366" s="1455">
        <v>116</v>
      </c>
      <c r="C366" s="1100">
        <v>1.0257294839353361</v>
      </c>
      <c r="D366" s="1100">
        <v>1.0161788852037266</v>
      </c>
      <c r="E366" s="1100">
        <v>1.0100310111003008</v>
      </c>
      <c r="F366" s="1100">
        <v>1.0004479073240926</v>
      </c>
      <c r="G366" s="1100">
        <v>0.99027142838311499</v>
      </c>
      <c r="H366" s="1100">
        <v>1.0114852597034472</v>
      </c>
      <c r="I366" s="1100">
        <v>0.98035834284580625</v>
      </c>
      <c r="K366">
        <v>1.3107072783533127</v>
      </c>
      <c r="L366">
        <v>0</v>
      </c>
      <c r="M366">
        <v>5.7674602987738165E-4</v>
      </c>
      <c r="N366">
        <v>5.4667081141788615E-2</v>
      </c>
      <c r="O366">
        <v>7.5212073231924765E-3</v>
      </c>
      <c r="P366">
        <v>1.6310514900333469E-2</v>
      </c>
      <c r="Q366">
        <v>4.3986039067449902E-4</v>
      </c>
      <c r="R366">
        <v>5.7506347641042598E-4</v>
      </c>
      <c r="S366">
        <v>5.7737619706378571E-2</v>
      </c>
      <c r="T366">
        <v>1.0325439978284008</v>
      </c>
      <c r="U366">
        <v>0</v>
      </c>
      <c r="V366">
        <v>9.6638085885355315E-2</v>
      </c>
      <c r="W366">
        <v>3.5699926563875703E-2</v>
      </c>
      <c r="X366">
        <v>7.5855339536142138E-3</v>
      </c>
      <c r="Y366">
        <v>1.5651332131651286E-3</v>
      </c>
    </row>
    <row r="367" spans="1:25" x14ac:dyDescent="0.25">
      <c r="A367" s="1096"/>
      <c r="B367" s="1455">
        <v>117</v>
      </c>
      <c r="C367" s="1100">
        <v>1.0276004967703043</v>
      </c>
      <c r="D367" s="1100">
        <v>1.0160255721262033</v>
      </c>
      <c r="E367" s="1100">
        <v>0.99956318163070579</v>
      </c>
      <c r="F367" s="1100">
        <v>0.96871556964926586</v>
      </c>
      <c r="G367" s="1100">
        <v>1.0282358792266009</v>
      </c>
      <c r="H367" s="1100">
        <v>1.0266550769444305</v>
      </c>
      <c r="I367" s="1100">
        <v>0.96672014068551992</v>
      </c>
      <c r="K367">
        <v>1.2792628927458507</v>
      </c>
      <c r="L367">
        <v>0</v>
      </c>
      <c r="M367">
        <v>5.9720219754570789E-4</v>
      </c>
      <c r="N367">
        <v>5.4846822510189547E-2</v>
      </c>
      <c r="O367">
        <v>7.5054795598922409E-3</v>
      </c>
      <c r="P367">
        <v>1.5759496705132367E-2</v>
      </c>
      <c r="Q367">
        <v>4.343583504942838E-4</v>
      </c>
      <c r="R367">
        <v>5.9548571000122316E-4</v>
      </c>
      <c r="S367">
        <v>5.7258735645833385E-2</v>
      </c>
      <c r="T367">
        <v>1.0000940125197966</v>
      </c>
      <c r="U367">
        <v>0</v>
      </c>
      <c r="V367">
        <v>9.8419124960568427E-2</v>
      </c>
      <c r="W367">
        <v>3.603999108487372E-2</v>
      </c>
      <c r="X367">
        <v>7.2858720958017074E-3</v>
      </c>
      <c r="Y367">
        <v>1.6207158008117852E-3</v>
      </c>
    </row>
    <row r="368" spans="1:25" x14ac:dyDescent="0.25">
      <c r="A368" s="1096"/>
      <c r="B368" s="1455">
        <v>118</v>
      </c>
      <c r="C368" s="1100">
        <v>0.95863947077066236</v>
      </c>
      <c r="D368" s="1100">
        <v>0.96771634432806064</v>
      </c>
      <c r="E368" s="1100">
        <v>1.0136881537496731</v>
      </c>
      <c r="F368" s="1100">
        <v>0.99144942476661391</v>
      </c>
      <c r="G368" s="1100">
        <v>1.0199054558103013</v>
      </c>
      <c r="H368" s="1100">
        <v>1.0040532311611705</v>
      </c>
      <c r="I368" s="1100">
        <v>0.97889368322260828</v>
      </c>
      <c r="K368">
        <v>1.3186585460364109</v>
      </c>
      <c r="L368">
        <v>0</v>
      </c>
      <c r="M368">
        <v>6.1993702067512512E-4</v>
      </c>
      <c r="N368">
        <v>5.9411947524715708E-2</v>
      </c>
      <c r="O368">
        <v>8.2073741506666423E-3</v>
      </c>
      <c r="P368">
        <v>1.6342121178130185E-2</v>
      </c>
      <c r="Q368">
        <v>4.8174542910540448E-4</v>
      </c>
      <c r="R368">
        <v>6.1811507823622818E-4</v>
      </c>
      <c r="S368">
        <v>6.3091369015681298E-2</v>
      </c>
      <c r="T368">
        <v>1.0231501830994247</v>
      </c>
      <c r="U368">
        <v>0</v>
      </c>
      <c r="V368">
        <v>9.9767158729643979E-2</v>
      </c>
      <c r="W368">
        <v>3.8715068059778333E-2</v>
      </c>
      <c r="X368">
        <v>7.8110953103238071E-3</v>
      </c>
      <c r="Y368">
        <v>1.6823054813782348E-3</v>
      </c>
    </row>
    <row r="369" spans="1:25" x14ac:dyDescent="0.25">
      <c r="A369" s="1096"/>
      <c r="B369" s="1455">
        <v>119</v>
      </c>
      <c r="C369" s="1100">
        <v>1.0152637154783322</v>
      </c>
      <c r="D369" s="1100">
        <v>0.95940927454675562</v>
      </c>
      <c r="E369" s="1100">
        <v>0.99824526207534336</v>
      </c>
      <c r="F369" s="1100">
        <v>0.99732616445050259</v>
      </c>
      <c r="G369" s="1100">
        <v>1.0029417331358064</v>
      </c>
      <c r="H369" s="1100">
        <v>0.9881964552775564</v>
      </c>
      <c r="I369" s="1100">
        <v>0.98112861623447101</v>
      </c>
      <c r="K369">
        <v>1.3106242812479758</v>
      </c>
      <c r="L369">
        <v>0</v>
      </c>
      <c r="M369">
        <v>5.9694307624151587E-4</v>
      </c>
      <c r="N369">
        <v>5.4599025877843259E-2</v>
      </c>
      <c r="O369">
        <v>7.7725957104896517E-3</v>
      </c>
      <c r="P369">
        <v>1.6164633852616472E-2</v>
      </c>
      <c r="Q369">
        <v>4.4922108093995984E-4</v>
      </c>
      <c r="R369">
        <v>5.9516056020395447E-4</v>
      </c>
      <c r="S369">
        <v>5.9495067186987098E-2</v>
      </c>
      <c r="T369">
        <v>1.0296705220707325</v>
      </c>
      <c r="U369">
        <v>0</v>
      </c>
      <c r="V369">
        <v>9.7487067436974842E-2</v>
      </c>
      <c r="W369">
        <v>3.5905301174989634E-2</v>
      </c>
      <c r="X369">
        <v>7.4627985221889957E-3</v>
      </c>
      <c r="Y369">
        <v>1.6198308502492211E-3</v>
      </c>
    </row>
    <row r="370" spans="1:25" x14ac:dyDescent="0.25">
      <c r="A370" s="1096"/>
      <c r="B370" s="1455">
        <v>120</v>
      </c>
      <c r="C370" s="1100">
        <v>1.0287545654420434</v>
      </c>
      <c r="D370" s="1100">
        <v>0.99009706939119568</v>
      </c>
      <c r="E370" s="1100">
        <v>0.9961896167076516</v>
      </c>
      <c r="F370" s="1100">
        <v>1.0097913206081746</v>
      </c>
      <c r="G370" s="1100">
        <v>0.97631053560380132</v>
      </c>
      <c r="H370" s="1100">
        <v>1.0193047596677425</v>
      </c>
      <c r="I370" s="1100">
        <v>0.97460629272667043</v>
      </c>
      <c r="K370">
        <v>1.3209410943699467</v>
      </c>
      <c r="L370">
        <v>0</v>
      </c>
      <c r="M370">
        <v>6.0261823836164398E-4</v>
      </c>
      <c r="N370">
        <v>5.4781785586044428E-2</v>
      </c>
      <c r="O370">
        <v>7.5741761172294537E-3</v>
      </c>
      <c r="P370">
        <v>1.6276762312786137E-2</v>
      </c>
      <c r="Q370">
        <v>4.3684833656983547E-4</v>
      </c>
      <c r="R370">
        <v>6.008736939187465E-4</v>
      </c>
      <c r="S370">
        <v>5.8246597436689689E-2</v>
      </c>
      <c r="T370">
        <v>1.0426018943672999</v>
      </c>
      <c r="U370">
        <v>0</v>
      </c>
      <c r="V370">
        <v>9.5876393547406E-2</v>
      </c>
      <c r="W370">
        <v>3.6069625701041164E-2</v>
      </c>
      <c r="X370">
        <v>7.443375392434658E-3</v>
      </c>
      <c r="Y370">
        <v>1.6353801168868622E-3</v>
      </c>
    </row>
    <row r="371" spans="1:25" x14ac:dyDescent="0.25">
      <c r="A371" s="1096"/>
      <c r="B371" s="1455">
        <v>121</v>
      </c>
      <c r="C371" s="1100">
        <v>0.98248508260361056</v>
      </c>
      <c r="D371" s="1100">
        <v>1.0178433931297153</v>
      </c>
      <c r="E371" s="1100">
        <v>1.0236971796470504</v>
      </c>
      <c r="F371" s="1100">
        <v>0.96524131226016374</v>
      </c>
      <c r="G371" s="1100">
        <v>1.0226475508461541</v>
      </c>
      <c r="H371" s="1100">
        <v>0.96969799818903435</v>
      </c>
      <c r="I371" s="1100">
        <v>0.99675144325229925</v>
      </c>
      <c r="K371">
        <v>1.2798887828368344</v>
      </c>
      <c r="L371">
        <v>0</v>
      </c>
      <c r="M371">
        <v>5.6071342126728691E-4</v>
      </c>
      <c r="N371">
        <v>5.5377917780559824E-2</v>
      </c>
      <c r="O371">
        <v>7.8505159846060744E-3</v>
      </c>
      <c r="P371">
        <v>1.6033083374412255E-2</v>
      </c>
      <c r="Q371">
        <v>4.6541041925708806E-4</v>
      </c>
      <c r="R371">
        <v>5.5900714924072637E-4</v>
      </c>
      <c r="S371">
        <v>5.9960920567402334E-2</v>
      </c>
      <c r="T371">
        <v>0.99582188961757589</v>
      </c>
      <c r="U371">
        <v>0</v>
      </c>
      <c r="V371">
        <v>9.9283633781705474E-2</v>
      </c>
      <c r="W371">
        <v>3.5875427899032676E-2</v>
      </c>
      <c r="X371">
        <v>7.7002565007325673E-3</v>
      </c>
      <c r="Y371">
        <v>1.5214331835760357E-3</v>
      </c>
    </row>
    <row r="372" spans="1:25" x14ac:dyDescent="0.25">
      <c r="A372" s="1096"/>
      <c r="B372" s="1455">
        <v>122</v>
      </c>
      <c r="C372" s="1100">
        <v>0.99086957876284498</v>
      </c>
      <c r="D372" s="1100">
        <v>1.0395493827525499</v>
      </c>
      <c r="E372" s="1100">
        <v>0.99401124911696381</v>
      </c>
      <c r="F372" s="1100">
        <v>0.96615755217724053</v>
      </c>
      <c r="G372" s="1100">
        <v>0.98394477174783201</v>
      </c>
      <c r="H372" s="1100">
        <v>1.0395857476574579</v>
      </c>
      <c r="I372" s="1100">
        <v>0.99051838469978404</v>
      </c>
      <c r="K372">
        <v>1.2822700086225991</v>
      </c>
      <c r="L372">
        <v>0</v>
      </c>
      <c r="M372">
        <v>6.2861940563962114E-4</v>
      </c>
      <c r="N372">
        <v>5.6773678612006002E-2</v>
      </c>
      <c r="O372">
        <v>7.7114107917624006E-3</v>
      </c>
      <c r="P372">
        <v>1.5687304571301665E-2</v>
      </c>
      <c r="Q372">
        <v>4.4378803509972708E-4</v>
      </c>
      <c r="R372">
        <v>6.2683509163085661E-4</v>
      </c>
      <c r="S372">
        <v>6.0487528122270394E-2</v>
      </c>
      <c r="T372">
        <v>0.99761331125367647</v>
      </c>
      <c r="U372">
        <v>0</v>
      </c>
      <c r="V372">
        <v>9.7164291508526679E-2</v>
      </c>
      <c r="W372">
        <v>3.7429751971152891E-2</v>
      </c>
      <c r="X372">
        <v>7.2546895875228393E-3</v>
      </c>
      <c r="Y372">
        <v>1.7060384832867708E-3</v>
      </c>
    </row>
    <row r="373" spans="1:25" x14ac:dyDescent="0.25">
      <c r="A373" s="1096"/>
      <c r="B373" s="1455">
        <v>123</v>
      </c>
      <c r="C373" s="1100">
        <v>1.004486991780861</v>
      </c>
      <c r="D373" s="1100">
        <v>0.99513487731238381</v>
      </c>
      <c r="E373" s="1100">
        <v>0.99923808265255609</v>
      </c>
      <c r="F373" s="1100">
        <v>0.96463925935947137</v>
      </c>
      <c r="G373" s="1100">
        <v>1.0148160866304319</v>
      </c>
      <c r="H373" s="1100">
        <v>0.99686632213779414</v>
      </c>
      <c r="I373" s="1100">
        <v>1.0152681747841938</v>
      </c>
      <c r="K373">
        <v>1.2793983896202108</v>
      </c>
      <c r="L373">
        <v>0</v>
      </c>
      <c r="M373">
        <v>5.9857099528252402E-4</v>
      </c>
      <c r="N373">
        <v>5.4913832346854367E-2</v>
      </c>
      <c r="O373">
        <v>7.7421761253749803E-3</v>
      </c>
      <c r="P373">
        <v>1.5752036081392955E-2</v>
      </c>
      <c r="Q373">
        <v>4.479100513838009E-4</v>
      </c>
      <c r="R373">
        <v>5.9679916319350598E-4</v>
      </c>
      <c r="S373">
        <v>6.128322712219459E-2</v>
      </c>
      <c r="T373">
        <v>0.99589500322426572</v>
      </c>
      <c r="U373">
        <v>0</v>
      </c>
      <c r="V373">
        <v>9.8324495668060161E-2</v>
      </c>
      <c r="W373">
        <v>3.6090999590985454E-2</v>
      </c>
      <c r="X373">
        <v>7.3261906543643663E-3</v>
      </c>
      <c r="Y373">
        <v>1.6242905874214505E-3</v>
      </c>
    </row>
    <row r="374" spans="1:25" x14ac:dyDescent="0.25">
      <c r="A374" s="1096"/>
      <c r="B374" s="1455">
        <v>124</v>
      </c>
      <c r="C374" s="1100">
        <v>0.95850250049452945</v>
      </c>
      <c r="D374" s="1100">
        <v>1.0150711450800107</v>
      </c>
      <c r="E374" s="1100">
        <v>1.005135238709735</v>
      </c>
      <c r="F374" s="1100">
        <v>1.0114871988599479</v>
      </c>
      <c r="G374" s="1100">
        <v>0.98425393498599267</v>
      </c>
      <c r="H374" s="1100">
        <v>0.99351692080499265</v>
      </c>
      <c r="I374" s="1100">
        <v>0.96465854439706011</v>
      </c>
      <c r="K374">
        <v>1.3314486883066667</v>
      </c>
      <c r="L374">
        <v>0</v>
      </c>
      <c r="M374">
        <v>6.1269587358921205E-4</v>
      </c>
      <c r="N374">
        <v>5.7219372775850319E-2</v>
      </c>
      <c r="O374">
        <v>8.0509905649338818E-3</v>
      </c>
      <c r="P374">
        <v>1.6463417218064803E-2</v>
      </c>
      <c r="Q374">
        <v>4.6854179283819158E-4</v>
      </c>
      <c r="R374">
        <v>6.1087611614055702E-4</v>
      </c>
      <c r="S374">
        <v>6.0279456334101374E-2</v>
      </c>
      <c r="T374">
        <v>1.0440837282419799</v>
      </c>
      <c r="U374">
        <v>0</v>
      </c>
      <c r="V374">
        <v>9.8036302596207797E-2</v>
      </c>
      <c r="W374">
        <v>3.7474918266083714E-2</v>
      </c>
      <c r="X374">
        <v>7.7111768611760568E-3</v>
      </c>
      <c r="Y374">
        <v>1.6626034128770315E-3</v>
      </c>
    </row>
    <row r="375" spans="1:25" x14ac:dyDescent="0.25">
      <c r="A375" s="1096"/>
      <c r="B375" s="1455">
        <v>125</v>
      </c>
      <c r="C375" s="1100">
        <v>1.0000532224939236</v>
      </c>
      <c r="D375" s="1100">
        <v>1.0037134228561875</v>
      </c>
      <c r="E375" s="1100">
        <v>0.99396294253552875</v>
      </c>
      <c r="F375" s="1100">
        <v>0.99720380424512123</v>
      </c>
      <c r="G375" s="1100">
        <v>1.0372046872044485</v>
      </c>
      <c r="H375" s="1100">
        <v>1.0130566554191394</v>
      </c>
      <c r="I375" s="1100">
        <v>0.99969781389249879</v>
      </c>
      <c r="K375">
        <v>1.315674612602751</v>
      </c>
      <c r="L375">
        <v>0</v>
      </c>
      <c r="M375">
        <v>6.1559093534011076E-4</v>
      </c>
      <c r="N375">
        <v>5.5584753200511122E-2</v>
      </c>
      <c r="O375">
        <v>7.7485549010451096E-3</v>
      </c>
      <c r="P375">
        <v>1.6158412295739513E-2</v>
      </c>
      <c r="Q375">
        <v>4.4590393656035058E-4</v>
      </c>
      <c r="R375">
        <v>6.1379784446504847E-4</v>
      </c>
      <c r="S375">
        <v>6.0820684799928394E-2</v>
      </c>
      <c r="T375">
        <v>1.0296717968586613</v>
      </c>
      <c r="U375">
        <v>0</v>
      </c>
      <c r="V375">
        <v>9.9511023514551558E-2</v>
      </c>
      <c r="W375">
        <v>3.6646974359920516E-2</v>
      </c>
      <c r="X375">
        <v>7.4177464324786634E-3</v>
      </c>
      <c r="Y375">
        <v>1.6705553942288137E-3</v>
      </c>
    </row>
    <row r="376" spans="1:25" x14ac:dyDescent="0.25">
      <c r="A376" s="1096"/>
      <c r="B376" s="1455">
        <v>126</v>
      </c>
      <c r="C376" s="1100">
        <v>1.0200236982809916</v>
      </c>
      <c r="D376" s="1100">
        <v>0.98419815821727763</v>
      </c>
      <c r="E376" s="1100">
        <v>1.0088908714250095</v>
      </c>
      <c r="F376" s="1100">
        <v>0.9895699863309857</v>
      </c>
      <c r="G376" s="1100">
        <v>1.0146374839392664</v>
      </c>
      <c r="H376" s="1100">
        <v>0.97732692903132767</v>
      </c>
      <c r="I376" s="1100">
        <v>0.99900255956029338</v>
      </c>
      <c r="K376">
        <v>1.3006904141633771</v>
      </c>
      <c r="L376">
        <v>0</v>
      </c>
      <c r="M376">
        <v>5.6894613391730311E-4</v>
      </c>
      <c r="N376">
        <v>5.3736957559397364E-2</v>
      </c>
      <c r="O376">
        <v>7.6603657745509162E-3</v>
      </c>
      <c r="P376">
        <v>1.618061836312025E-2</v>
      </c>
      <c r="Q376">
        <v>4.4748829282255083E-4</v>
      </c>
      <c r="R376">
        <v>5.6722832400812678E-4</v>
      </c>
      <c r="S376">
        <v>5.9157414066924E-2</v>
      </c>
      <c r="T376">
        <v>1.0213503591946762</v>
      </c>
      <c r="U376">
        <v>0</v>
      </c>
      <c r="V376">
        <v>9.7950819072431708E-2</v>
      </c>
      <c r="W376">
        <v>3.5116127470767318E-2</v>
      </c>
      <c r="X376">
        <v>7.548173667412921E-3</v>
      </c>
      <c r="Y376">
        <v>1.5438085111833656E-3</v>
      </c>
    </row>
    <row r="377" spans="1:25" x14ac:dyDescent="0.25">
      <c r="A377" s="1096"/>
      <c r="B377" s="1455">
        <v>127</v>
      </c>
      <c r="C377" s="1100">
        <v>1.0053762471336072</v>
      </c>
      <c r="D377" s="1100">
        <v>0.97668292201707885</v>
      </c>
      <c r="E377" s="1100">
        <v>0.96699781415927788</v>
      </c>
      <c r="F377" s="1100">
        <v>0.99165768758621842</v>
      </c>
      <c r="G377" s="1100">
        <v>0.99106318422129536</v>
      </c>
      <c r="H377" s="1100">
        <v>0.99003385449810422</v>
      </c>
      <c r="I377" s="1100">
        <v>0.99410125741166733</v>
      </c>
      <c r="K377">
        <v>1.3037665964507914</v>
      </c>
      <c r="L377">
        <v>0</v>
      </c>
      <c r="M377">
        <v>6.396797751854707E-4</v>
      </c>
      <c r="N377">
        <v>5.3231033926930779E-2</v>
      </c>
      <c r="O377">
        <v>7.7855310556694127E-3</v>
      </c>
      <c r="P377">
        <v>1.5726991059152588E-2</v>
      </c>
      <c r="Q377">
        <v>4.3592222402897039E-4</v>
      </c>
      <c r="R377">
        <v>6.3777318921711236E-4</v>
      </c>
      <c r="S377">
        <v>6.0318513156164759E-2</v>
      </c>
      <c r="T377">
        <v>1.0247566311647671</v>
      </c>
      <c r="U377">
        <v>0</v>
      </c>
      <c r="V377">
        <v>9.7118019849331605E-2</v>
      </c>
      <c r="W377">
        <v>3.5671065251368123E-2</v>
      </c>
      <c r="X377">
        <v>6.9889869701720729E-3</v>
      </c>
      <c r="Y377">
        <v>1.7358083791736579E-3</v>
      </c>
    </row>
    <row r="378" spans="1:25" x14ac:dyDescent="0.25">
      <c r="A378" s="1096"/>
      <c r="B378" s="1455">
        <v>128</v>
      </c>
      <c r="C378" s="1100">
        <v>0.97274061613102636</v>
      </c>
      <c r="D378" s="1100">
        <v>1.0033320590994894</v>
      </c>
      <c r="E378" s="1100">
        <v>1.0084560900245434</v>
      </c>
      <c r="F378" s="1100">
        <v>1.039486625377219</v>
      </c>
      <c r="G378" s="1100">
        <v>1.0294533505297128</v>
      </c>
      <c r="H378" s="1100">
        <v>0.98188163676748341</v>
      </c>
      <c r="I378" s="1100">
        <v>1.039694917350888</v>
      </c>
      <c r="K378">
        <v>1.3645605752631655</v>
      </c>
      <c r="L378">
        <v>0</v>
      </c>
      <c r="M378">
        <v>5.9532069487158853E-4</v>
      </c>
      <c r="N378">
        <v>5.6155059570379987E-2</v>
      </c>
      <c r="O378">
        <v>7.9709830320734577E-3</v>
      </c>
      <c r="P378">
        <v>1.6975837486204744E-2</v>
      </c>
      <c r="Q378">
        <v>4.6543084556677509E-4</v>
      </c>
      <c r="R378">
        <v>5.9353159056767561E-4</v>
      </c>
      <c r="S378">
        <v>6.4042313156125227E-2</v>
      </c>
      <c r="T378">
        <v>1.0728834235498024</v>
      </c>
      <c r="U378">
        <v>0</v>
      </c>
      <c r="V378">
        <v>9.9848281808465611E-2</v>
      </c>
      <c r="W378">
        <v>3.670573254941157E-2</v>
      </c>
      <c r="X378">
        <v>7.8999050375489453E-3</v>
      </c>
      <c r="Y378">
        <v>1.6153973318889664E-3</v>
      </c>
    </row>
    <row r="379" spans="1:25" x14ac:dyDescent="0.25">
      <c r="A379" s="1096"/>
      <c r="B379" s="1455">
        <v>129</v>
      </c>
      <c r="C379" s="1100">
        <v>1.0236069689366323</v>
      </c>
      <c r="D379" s="1100">
        <v>1.0406749348599871</v>
      </c>
      <c r="E379" s="1100">
        <v>1.0306210536509757</v>
      </c>
      <c r="F379" s="1100">
        <v>0.96392354424542093</v>
      </c>
      <c r="G379" s="1100">
        <v>1.0096359058330084</v>
      </c>
      <c r="H379" s="1100">
        <v>0.96916003186575805</v>
      </c>
      <c r="I379" s="1100">
        <v>1.0073112228247849</v>
      </c>
      <c r="K379">
        <v>1.2696124869011796</v>
      </c>
      <c r="L379">
        <v>0</v>
      </c>
      <c r="M379">
        <v>5.2550366802745212E-4</v>
      </c>
      <c r="N379">
        <v>5.2995304994634652E-2</v>
      </c>
      <c r="O379">
        <v>7.4702078657231767E-3</v>
      </c>
      <c r="P379">
        <v>1.6034777383448731E-2</v>
      </c>
      <c r="Q379">
        <v>4.4591105034171979E-4</v>
      </c>
      <c r="R379">
        <v>5.2390365295220895E-4</v>
      </c>
      <c r="S379">
        <v>5.7462796801609463E-2</v>
      </c>
      <c r="T379">
        <v>0.99426909608413316</v>
      </c>
      <c r="U379">
        <v>0</v>
      </c>
      <c r="V379">
        <v>9.7648085855363678E-2</v>
      </c>
      <c r="W379">
        <v>3.4193887141394347E-2</v>
      </c>
      <c r="X379">
        <v>7.6681267010627503E-3</v>
      </c>
      <c r="Y379">
        <v>1.4258930385431321E-3</v>
      </c>
    </row>
    <row r="380" spans="1:25" x14ac:dyDescent="0.25">
      <c r="A380" s="1096"/>
      <c r="B380" s="1455">
        <v>130</v>
      </c>
      <c r="C380" s="1100">
        <v>0.99578607832766741</v>
      </c>
      <c r="D380" s="1100">
        <v>1.0059678080887489</v>
      </c>
      <c r="E380" s="1100">
        <v>1.0066275505600468</v>
      </c>
      <c r="F380" s="1100">
        <v>0.9749572629776756</v>
      </c>
      <c r="G380" s="1100">
        <v>0.99888232220759687</v>
      </c>
      <c r="H380" s="1100">
        <v>0.99427938359148227</v>
      </c>
      <c r="I380" s="1100">
        <v>0.97066434901390497</v>
      </c>
      <c r="K380">
        <v>1.2876954543656063</v>
      </c>
      <c r="L380">
        <v>0</v>
      </c>
      <c r="M380">
        <v>5.9050651720450435E-4</v>
      </c>
      <c r="N380">
        <v>5.5396335561961649E-2</v>
      </c>
      <c r="O380">
        <v>7.7778934391144741E-3</v>
      </c>
      <c r="P380">
        <v>1.5938905304722879E-2</v>
      </c>
      <c r="Q380">
        <v>4.533257097280054E-4</v>
      </c>
      <c r="R380">
        <v>5.8875400892232017E-4</v>
      </c>
      <c r="S380">
        <v>5.8690657014807468E-2</v>
      </c>
      <c r="T380">
        <v>1.0063335145917451</v>
      </c>
      <c r="U380">
        <v>0</v>
      </c>
      <c r="V380">
        <v>9.7777515540929991E-2</v>
      </c>
      <c r="W380">
        <v>3.6248932819072474E-2</v>
      </c>
      <c r="X380">
        <v>7.4777325622267165E-3</v>
      </c>
      <c r="Y380">
        <v>1.6023943295796754E-3</v>
      </c>
    </row>
    <row r="381" spans="1:25" x14ac:dyDescent="0.25">
      <c r="A381" s="1096"/>
      <c r="B381" s="1455">
        <v>131</v>
      </c>
      <c r="C381" s="1100">
        <v>0.95879657225829795</v>
      </c>
      <c r="D381" s="1100">
        <v>0.9945918202385351</v>
      </c>
      <c r="E381" s="1100">
        <v>0.99175185758348749</v>
      </c>
      <c r="F381" s="1100">
        <v>0.97684936289707691</v>
      </c>
      <c r="G381" s="1100">
        <v>0.9953994938121753</v>
      </c>
      <c r="H381" s="1100">
        <v>1.0239225190440009</v>
      </c>
      <c r="I381" s="1100">
        <v>1.0184112117391222</v>
      </c>
      <c r="K381">
        <v>1.3036377017923237</v>
      </c>
      <c r="L381">
        <v>0</v>
      </c>
      <c r="M381">
        <v>6.5433148261511559E-4</v>
      </c>
      <c r="N381">
        <v>5.8691075001141513E-2</v>
      </c>
      <c r="O381">
        <v>8.1109729617240538E-3</v>
      </c>
      <c r="P381">
        <v>1.5895256061710918E-2</v>
      </c>
      <c r="Q381">
        <v>4.657195649773413E-4</v>
      </c>
      <c r="R381">
        <v>6.5244577419470398E-4</v>
      </c>
      <c r="S381">
        <v>6.5292794806229446E-2</v>
      </c>
      <c r="T381">
        <v>1.0087193842725708</v>
      </c>
      <c r="U381">
        <v>0</v>
      </c>
      <c r="V381">
        <v>9.8552442487652034E-2</v>
      </c>
      <c r="W381">
        <v>3.8746141826037209E-2</v>
      </c>
      <c r="X381">
        <v>7.39005820003533E-3</v>
      </c>
      <c r="Y381">
        <v>1.7757423186663245E-3</v>
      </c>
    </row>
    <row r="382" spans="1:25" x14ac:dyDescent="0.25">
      <c r="A382" s="1096"/>
      <c r="B382" s="1455">
        <v>132</v>
      </c>
      <c r="C382" s="1100">
        <v>1.022232397719582</v>
      </c>
      <c r="D382" s="1100">
        <v>1.0346289937708284</v>
      </c>
      <c r="E382" s="1100">
        <v>0.97706598334274841</v>
      </c>
      <c r="F382" s="1100">
        <v>1.0259532618466527</v>
      </c>
      <c r="G382" s="1100">
        <v>0.98568302573854805</v>
      </c>
      <c r="H382" s="1100">
        <v>0.98970492367197271</v>
      </c>
      <c r="I382" s="1100">
        <v>1.0033226985977233</v>
      </c>
      <c r="K382">
        <v>1.3334695958311218</v>
      </c>
      <c r="L382">
        <v>0</v>
      </c>
      <c r="M382">
        <v>6.0194240424059917E-4</v>
      </c>
      <c r="N382">
        <v>5.1640970979964895E-2</v>
      </c>
      <c r="O382">
        <v>7.4850133281844254E-3</v>
      </c>
      <c r="P382">
        <v>1.6280242735814292E-2</v>
      </c>
      <c r="Q382">
        <v>4.2342585754685824E-4</v>
      </c>
      <c r="R382">
        <v>6.0014769943341818E-4</v>
      </c>
      <c r="S382">
        <v>5.8049504655168505E-2</v>
      </c>
      <c r="T382">
        <v>1.0598808015270353</v>
      </c>
      <c r="U382">
        <v>0</v>
      </c>
      <c r="V382">
        <v>9.6462516594798722E-2</v>
      </c>
      <c r="W382">
        <v>3.4394466598634946E-2</v>
      </c>
      <c r="X382">
        <v>7.2210440595584921E-3</v>
      </c>
      <c r="Y382">
        <v>1.6334041992218163E-3</v>
      </c>
    </row>
    <row r="383" spans="1:25" x14ac:dyDescent="0.25">
      <c r="A383" s="1096"/>
      <c r="B383" s="1455">
        <v>133</v>
      </c>
      <c r="C383" s="1100">
        <v>1.0054567904602962</v>
      </c>
      <c r="D383" s="1100">
        <v>1.0289267321623632</v>
      </c>
      <c r="E383" s="1100">
        <v>0.97570909183534182</v>
      </c>
      <c r="F383" s="1100">
        <v>1.0012119889301949</v>
      </c>
      <c r="G383" s="1100">
        <v>1.0173041073490443</v>
      </c>
      <c r="H383" s="1100">
        <v>0.96103103063661333</v>
      </c>
      <c r="I383" s="1100">
        <v>1.0401815553533373</v>
      </c>
      <c r="K383">
        <v>1.3110480323732547</v>
      </c>
      <c r="L383">
        <v>0</v>
      </c>
      <c r="M383">
        <v>5.9724255857194195E-4</v>
      </c>
      <c r="N383">
        <v>5.1023234958160531E-2</v>
      </c>
      <c r="O383">
        <v>7.6264127431375341E-3</v>
      </c>
      <c r="P383">
        <v>1.5980035996367971E-2</v>
      </c>
      <c r="Q383">
        <v>4.3082901505962681E-4</v>
      </c>
      <c r="R383">
        <v>5.9540873667202391E-4</v>
      </c>
      <c r="S383">
        <v>6.0471219687217803E-2</v>
      </c>
      <c r="T383">
        <v>1.0343627484725175</v>
      </c>
      <c r="U383">
        <v>0</v>
      </c>
      <c r="V383">
        <v>9.8394861745764353E-2</v>
      </c>
      <c r="W383">
        <v>3.401096992876633E-2</v>
      </c>
      <c r="X383">
        <v>7.1290473433798197E-3</v>
      </c>
      <c r="Y383">
        <v>1.6205063047839562E-3</v>
      </c>
    </row>
    <row r="384" spans="1:25" x14ac:dyDescent="0.25">
      <c r="A384" s="1096"/>
      <c r="B384" s="1455">
        <v>134</v>
      </c>
      <c r="C384" s="1100">
        <v>0.97543800703404349</v>
      </c>
      <c r="D384" s="1100">
        <v>0.98303437335441035</v>
      </c>
      <c r="E384" s="1100">
        <v>0.96987562931241167</v>
      </c>
      <c r="F384" s="1100">
        <v>1.0122386690522693</v>
      </c>
      <c r="G384" s="1100">
        <v>0.98446485197502853</v>
      </c>
      <c r="H384" s="1100">
        <v>1.0040569522349065</v>
      </c>
      <c r="I384" s="1100">
        <v>1.0054352670387099</v>
      </c>
      <c r="K384">
        <v>1.3330112503314091</v>
      </c>
      <c r="L384">
        <v>0</v>
      </c>
      <c r="M384">
        <v>6.6297060632327753E-4</v>
      </c>
      <c r="N384">
        <v>5.5654391073734794E-2</v>
      </c>
      <c r="O384">
        <v>8.0044317548704069E-3</v>
      </c>
      <c r="P384">
        <v>1.6087190852355705E-2</v>
      </c>
      <c r="Q384">
        <v>4.4950010915977798E-4</v>
      </c>
      <c r="R384">
        <v>6.6102219903896417E-4</v>
      </c>
      <c r="S384">
        <v>6.3106961795965227E-2</v>
      </c>
      <c r="T384">
        <v>1.0459350933023619</v>
      </c>
      <c r="U384">
        <v>0</v>
      </c>
      <c r="V384">
        <v>9.7558236092274528E-2</v>
      </c>
      <c r="W384">
        <v>3.7229652772705249E-2</v>
      </c>
      <c r="X384">
        <v>7.1886564653914214E-3</v>
      </c>
      <c r="Y384">
        <v>1.799084519874711E-3</v>
      </c>
    </row>
    <row r="385" spans="1:25" x14ac:dyDescent="0.25">
      <c r="A385" s="1096"/>
      <c r="B385" s="1455">
        <v>135</v>
      </c>
      <c r="C385" s="1100">
        <v>0.98314758764810883</v>
      </c>
      <c r="D385" s="1100">
        <v>1.009144484835099</v>
      </c>
      <c r="E385" s="1100">
        <v>1.021818302738593</v>
      </c>
      <c r="F385" s="1100">
        <v>1.0090824005719261</v>
      </c>
      <c r="G385" s="1100">
        <v>1.0014266330779025</v>
      </c>
      <c r="H385" s="1100">
        <v>0.98963500206914323</v>
      </c>
      <c r="I385" s="1100">
        <v>1.0009257777352552</v>
      </c>
      <c r="K385">
        <v>1.3281263113116011</v>
      </c>
      <c r="L385">
        <v>0</v>
      </c>
      <c r="M385">
        <v>5.7607136418903011E-4</v>
      </c>
      <c r="N385">
        <v>5.6576686353648258E-2</v>
      </c>
      <c r="O385">
        <v>7.8717377516717615E-3</v>
      </c>
      <c r="P385">
        <v>1.6639574745761328E-2</v>
      </c>
      <c r="Q385">
        <v>4.6579898628482081E-4</v>
      </c>
      <c r="R385">
        <v>5.7435367311617477E-4</v>
      </c>
      <c r="S385">
        <v>6.1065906382635225E-2</v>
      </c>
      <c r="T385">
        <v>1.0411070939596121</v>
      </c>
      <c r="U385">
        <v>0</v>
      </c>
      <c r="V385">
        <v>9.8237735309677957E-2</v>
      </c>
      <c r="W385">
        <v>3.6692249381232056E-2</v>
      </c>
      <c r="X385">
        <v>7.9080447695647066E-3</v>
      </c>
      <c r="Y385">
        <v>1.5632013625847699E-3</v>
      </c>
    </row>
    <row r="386" spans="1:25" x14ac:dyDescent="0.25">
      <c r="A386" s="1096"/>
      <c r="B386" s="1455">
        <v>136</v>
      </c>
      <c r="C386" s="1100">
        <v>0.98949965237176829</v>
      </c>
      <c r="D386" s="1100">
        <v>0.99977518800752541</v>
      </c>
      <c r="E386" s="1100">
        <v>0.97869641947823771</v>
      </c>
      <c r="F386" s="1100">
        <v>0.96118215899159931</v>
      </c>
      <c r="G386" s="1100">
        <v>0.9871166718913883</v>
      </c>
      <c r="H386" s="1100">
        <v>1.0164084631148638</v>
      </c>
      <c r="I386" s="1100">
        <v>1.0292140346059617</v>
      </c>
      <c r="K386">
        <v>1.2789812888606598</v>
      </c>
      <c r="L386">
        <v>0</v>
      </c>
      <c r="M386">
        <v>6.4526886523613367E-4</v>
      </c>
      <c r="N386">
        <v>5.5636149164220015E-2</v>
      </c>
      <c r="O386">
        <v>7.8397428650693046E-3</v>
      </c>
      <c r="P386">
        <v>1.5486764990053572E-2</v>
      </c>
      <c r="Q386">
        <v>4.4422926551247478E-4</v>
      </c>
      <c r="R386">
        <v>6.4339552674598868E-4</v>
      </c>
      <c r="S386">
        <v>6.3508457314723737E-2</v>
      </c>
      <c r="T386">
        <v>0.99292008227001372</v>
      </c>
      <c r="U386">
        <v>0</v>
      </c>
      <c r="V386">
        <v>9.7335358969827659E-2</v>
      </c>
      <c r="W386">
        <v>3.7018853327063429E-2</v>
      </c>
      <c r="X386">
        <v>7.042413504140606E-3</v>
      </c>
      <c r="Y386">
        <v>1.7511105285241912E-3</v>
      </c>
    </row>
    <row r="387" spans="1:25" x14ac:dyDescent="0.25">
      <c r="A387" s="1096"/>
      <c r="B387" s="1455">
        <v>137</v>
      </c>
      <c r="C387" s="1100">
        <v>0.99259260416955331</v>
      </c>
      <c r="D387" s="1100">
        <v>1.0155961003446539</v>
      </c>
      <c r="E387" s="1100">
        <v>1.0424965350676001</v>
      </c>
      <c r="F387" s="1100">
        <v>1.0176132028854203</v>
      </c>
      <c r="G387" s="1100">
        <v>0.98160786204883321</v>
      </c>
      <c r="H387" s="1100">
        <v>0.98303913940787613</v>
      </c>
      <c r="I387" s="1100">
        <v>1.0074219865932643</v>
      </c>
      <c r="K387">
        <v>1.334646619080136</v>
      </c>
      <c r="L387">
        <v>0</v>
      </c>
      <c r="M387">
        <v>5.414937774222134E-4</v>
      </c>
      <c r="N387">
        <v>5.6599669936360855E-2</v>
      </c>
      <c r="O387">
        <v>7.7820912992153683E-3</v>
      </c>
      <c r="P387">
        <v>1.6981549131542931E-2</v>
      </c>
      <c r="Q387">
        <v>4.6999444488008221E-4</v>
      </c>
      <c r="R387">
        <v>5.3986835412890956E-4</v>
      </c>
      <c r="S387">
        <v>6.0486558396071255E-2</v>
      </c>
      <c r="T387">
        <v>1.0493023623748756</v>
      </c>
      <c r="U387">
        <v>0</v>
      </c>
      <c r="V387">
        <v>9.7062180962959141E-2</v>
      </c>
      <c r="W387">
        <v>3.6269915391707798E-2</v>
      </c>
      <c r="X387">
        <v>8.2245788734312108E-3</v>
      </c>
      <c r="Y387">
        <v>1.469343692383783E-3</v>
      </c>
    </row>
    <row r="388" spans="1:25" x14ac:dyDescent="0.25">
      <c r="A388" s="1096"/>
      <c r="B388" s="1455">
        <v>138</v>
      </c>
      <c r="C388" s="1100">
        <v>1.0295338733507338</v>
      </c>
      <c r="D388" s="1100">
        <v>1.007202864967732</v>
      </c>
      <c r="E388" s="1100">
        <v>1.0068920930872793</v>
      </c>
      <c r="F388" s="1100">
        <v>0.99600873794212996</v>
      </c>
      <c r="G388" s="1100">
        <v>0.9867712190887582</v>
      </c>
      <c r="H388" s="1100">
        <v>0.98508111053249858</v>
      </c>
      <c r="I388" s="1100">
        <v>1.0133832518401831</v>
      </c>
      <c r="K388">
        <v>1.3043978467477859</v>
      </c>
      <c r="L388">
        <v>0</v>
      </c>
      <c r="M388">
        <v>5.6527782585915752E-4</v>
      </c>
      <c r="N388">
        <v>5.3070496902461725E-2</v>
      </c>
      <c r="O388">
        <v>7.5193082289834838E-3</v>
      </c>
      <c r="P388">
        <v>1.6224150308571977E-2</v>
      </c>
      <c r="Q388">
        <v>4.3837048160083283E-4</v>
      </c>
      <c r="R388">
        <v>5.6358452637228355E-4</v>
      </c>
      <c r="S388">
        <v>5.895064739119988E-2</v>
      </c>
      <c r="T388">
        <v>1.0280546822605732</v>
      </c>
      <c r="U388">
        <v>0</v>
      </c>
      <c r="V388">
        <v>9.6375983918826347E-2</v>
      </c>
      <c r="W388">
        <v>3.4721575344101481E-2</v>
      </c>
      <c r="X388">
        <v>7.5104339157576368E-3</v>
      </c>
      <c r="Y388">
        <v>1.5338912951961678E-3</v>
      </c>
    </row>
    <row r="389" spans="1:25" x14ac:dyDescent="0.25">
      <c r="A389" s="1096"/>
      <c r="B389" s="1455">
        <v>139</v>
      </c>
      <c r="C389" s="1100">
        <v>1.0249266322176138</v>
      </c>
      <c r="D389" s="1100">
        <v>1.0265240440376673</v>
      </c>
      <c r="E389" s="1100">
        <v>0.98082144567498375</v>
      </c>
      <c r="F389" s="1100">
        <v>0.95668677386515699</v>
      </c>
      <c r="G389" s="1100">
        <v>1.0045566785414011</v>
      </c>
      <c r="H389" s="1100">
        <v>1.0363086442164384</v>
      </c>
      <c r="I389" s="1100">
        <v>1.0237985490955162</v>
      </c>
      <c r="K389">
        <v>1.2686458122793725</v>
      </c>
      <c r="L389">
        <v>0</v>
      </c>
      <c r="M389">
        <v>6.2573357539606961E-4</v>
      </c>
      <c r="N389">
        <v>5.4302832702566438E-2</v>
      </c>
      <c r="O389">
        <v>7.4897459697170704E-3</v>
      </c>
      <c r="P389">
        <v>1.5411001039473519E-2</v>
      </c>
      <c r="Q389">
        <v>4.2531488483247393E-4</v>
      </c>
      <c r="R389">
        <v>6.2395183610826767E-4</v>
      </c>
      <c r="S389">
        <v>6.0737944734361664E-2</v>
      </c>
      <c r="T389">
        <v>0.9882145192754922</v>
      </c>
      <c r="U389">
        <v>0</v>
      </c>
      <c r="V389">
        <v>9.7315844838100823E-2</v>
      </c>
      <c r="W389">
        <v>3.6085357902229741E-2</v>
      </c>
      <c r="X389">
        <v>6.966841459665701E-3</v>
      </c>
      <c r="Y389">
        <v>1.6981912122192109E-3</v>
      </c>
    </row>
    <row r="390" spans="1:25" x14ac:dyDescent="0.25">
      <c r="A390" s="1096"/>
      <c r="B390" s="1455">
        <v>140</v>
      </c>
      <c r="C390" s="1100">
        <v>1.00148888588522</v>
      </c>
      <c r="D390" s="1100">
        <v>0.9998633447197558</v>
      </c>
      <c r="E390" s="1100">
        <v>1.000761276133421</v>
      </c>
      <c r="F390" s="1100">
        <v>1.0209310711369306</v>
      </c>
      <c r="G390" s="1100">
        <v>1.0047506031261129</v>
      </c>
      <c r="H390" s="1100">
        <v>1.0051238960316384</v>
      </c>
      <c r="I390" s="1100">
        <v>1.0092857923231209</v>
      </c>
      <c r="K390">
        <v>1.3390581077383639</v>
      </c>
      <c r="L390">
        <v>0</v>
      </c>
      <c r="M390">
        <v>6.0228335621319046E-4</v>
      </c>
      <c r="N390">
        <v>5.5510625025376528E-2</v>
      </c>
      <c r="O390">
        <v>7.7510166628942268E-3</v>
      </c>
      <c r="P390">
        <v>1.6555713847332613E-2</v>
      </c>
      <c r="Q390">
        <v>4.4910860150905809E-4</v>
      </c>
      <c r="R390">
        <v>6.005151818799868E-4</v>
      </c>
      <c r="S390">
        <v>6.1204883707756168E-2</v>
      </c>
      <c r="T390">
        <v>1.0539644662810472</v>
      </c>
      <c r="U390">
        <v>0</v>
      </c>
      <c r="V390">
        <v>9.7913121561155766E-2</v>
      </c>
      <c r="W390">
        <v>3.6450216008827023E-2</v>
      </c>
      <c r="X390">
        <v>7.6263198514989637E-3</v>
      </c>
      <c r="Y390">
        <v>1.6344043653008201E-3</v>
      </c>
    </row>
    <row r="391" spans="1:25" x14ac:dyDescent="0.25">
      <c r="A391" s="1096"/>
      <c r="B391" s="1455">
        <v>141</v>
      </c>
      <c r="C391" s="1100">
        <v>0.98103657294960644</v>
      </c>
      <c r="D391" s="1100">
        <v>1.0055269755371927</v>
      </c>
      <c r="E391" s="1100">
        <v>0.98701310665538255</v>
      </c>
      <c r="F391" s="1100">
        <v>0.98554238472003808</v>
      </c>
      <c r="G391" s="1100">
        <v>0.98397007061094421</v>
      </c>
      <c r="H391" s="1100">
        <v>1.0038174508777966</v>
      </c>
      <c r="I391" s="1100">
        <v>1.0449646527071772</v>
      </c>
      <c r="K391">
        <v>1.3055952686660355</v>
      </c>
      <c r="L391">
        <v>0</v>
      </c>
      <c r="M391">
        <v>6.3036061170983681E-4</v>
      </c>
      <c r="N391">
        <v>5.573341064672218E-2</v>
      </c>
      <c r="O391">
        <v>7.8913207029528403E-3</v>
      </c>
      <c r="P391">
        <v>1.5934741503957597E-2</v>
      </c>
      <c r="Q391">
        <v>4.5094164009772846E-4</v>
      </c>
      <c r="R391">
        <v>6.2850760007914582E-4</v>
      </c>
      <c r="S391">
        <v>6.4437401348680465E-2</v>
      </c>
      <c r="T391">
        <v>1.0178365087009087</v>
      </c>
      <c r="U391">
        <v>0</v>
      </c>
      <c r="V391">
        <v>9.7408383516370906E-2</v>
      </c>
      <c r="W391">
        <v>3.6898227054129713E-2</v>
      </c>
      <c r="X391">
        <v>7.2955960639029278E-3</v>
      </c>
      <c r="Y391">
        <v>1.7105904999407519E-3</v>
      </c>
    </row>
    <row r="392" spans="1:25" x14ac:dyDescent="0.25">
      <c r="A392" s="1096"/>
      <c r="B392" s="1455">
        <v>142</v>
      </c>
      <c r="C392" s="1100">
        <v>0.96804862182636409</v>
      </c>
      <c r="D392" s="1100">
        <v>1.0411050898739358</v>
      </c>
      <c r="E392" s="1100">
        <v>0.99743458250342676</v>
      </c>
      <c r="F392" s="1100">
        <v>1.0193532209745144</v>
      </c>
      <c r="G392" s="1100">
        <v>0.97230839962028248</v>
      </c>
      <c r="H392" s="1100">
        <v>1.0073091980983766</v>
      </c>
      <c r="I392" s="1100">
        <v>1.0028122022178489</v>
      </c>
      <c r="K392">
        <v>1.338969829493265</v>
      </c>
      <c r="L392">
        <v>0</v>
      </c>
      <c r="M392">
        <v>6.1868262861558836E-4</v>
      </c>
      <c r="N392">
        <v>5.6452179939808826E-2</v>
      </c>
      <c r="O392">
        <v>7.8893346505614307E-3</v>
      </c>
      <c r="P392">
        <v>1.6489862578806282E-2</v>
      </c>
      <c r="Q392">
        <v>4.5559621537574361E-4</v>
      </c>
      <c r="R392">
        <v>6.1687024995205791E-4</v>
      </c>
      <c r="S392">
        <v>6.1630867321676476E-2</v>
      </c>
      <c r="T392">
        <v>1.0524365898215333</v>
      </c>
      <c r="U392">
        <v>0</v>
      </c>
      <c r="V392">
        <v>9.7194773780884924E-2</v>
      </c>
      <c r="W392">
        <v>3.7141890671626869E-2</v>
      </c>
      <c r="X392">
        <v>7.6016294225084184E-3</v>
      </c>
      <c r="Y392">
        <v>1.6789174691462564E-3</v>
      </c>
    </row>
    <row r="393" spans="1:25" x14ac:dyDescent="0.25">
      <c r="A393" s="1096"/>
      <c r="B393" s="1455">
        <v>143</v>
      </c>
      <c r="C393" s="1100">
        <v>1.0207383216834864</v>
      </c>
      <c r="D393" s="1100">
        <v>0.9956382965604571</v>
      </c>
      <c r="E393" s="1100">
        <v>1.0205975572483117</v>
      </c>
      <c r="F393" s="1100">
        <v>0.95920680188871432</v>
      </c>
      <c r="G393" s="1100">
        <v>0.99586274850785483</v>
      </c>
      <c r="H393" s="1100">
        <v>1.0059223412414691</v>
      </c>
      <c r="I393" s="1100">
        <v>0.97040227344405605</v>
      </c>
      <c r="K393">
        <v>1.2693928869681714</v>
      </c>
      <c r="L393">
        <v>0</v>
      </c>
      <c r="M393">
        <v>5.6847842457081142E-4</v>
      </c>
      <c r="N393">
        <v>5.5628454007371465E-2</v>
      </c>
      <c r="O393">
        <v>7.6225241457983295E-3</v>
      </c>
      <c r="P393">
        <v>1.5852233340117865E-2</v>
      </c>
      <c r="Q393">
        <v>4.5050542236406703E-4</v>
      </c>
      <c r="R393">
        <v>5.6681081894676755E-4</v>
      </c>
      <c r="S393">
        <v>5.7910140464923196E-2</v>
      </c>
      <c r="T393">
        <v>0.98968273659278239</v>
      </c>
      <c r="U393">
        <v>0</v>
      </c>
      <c r="V393">
        <v>9.7038519231366221E-2</v>
      </c>
      <c r="W393">
        <v>3.6103033845051119E-2</v>
      </c>
      <c r="X393">
        <v>7.5637353239825832E-3</v>
      </c>
      <c r="Y393">
        <v>1.5426722000368525E-3</v>
      </c>
    </row>
    <row r="394" spans="1:25" x14ac:dyDescent="0.25">
      <c r="A394" s="1096"/>
      <c r="B394" s="1455">
        <v>144</v>
      </c>
      <c r="C394" s="1100">
        <v>0.97394640685258338</v>
      </c>
      <c r="D394" s="1100">
        <v>0.95959352005701126</v>
      </c>
      <c r="E394" s="1100">
        <v>1.0261534102589649</v>
      </c>
      <c r="F394" s="1100">
        <v>1.0255481550930781</v>
      </c>
      <c r="G394" s="1100">
        <v>0.9988162338929385</v>
      </c>
      <c r="H394" s="1100">
        <v>0.96946583028283684</v>
      </c>
      <c r="I394" s="1100">
        <v>0.97431932854165271</v>
      </c>
      <c r="K394">
        <v>1.3469266036338527</v>
      </c>
      <c r="L394">
        <v>0</v>
      </c>
      <c r="M394">
        <v>5.7602878110909865E-4</v>
      </c>
      <c r="N394">
        <v>5.7313437954369509E-2</v>
      </c>
      <c r="O394">
        <v>8.1088712770085482E-3</v>
      </c>
      <c r="P394">
        <v>1.6927856868110006E-2</v>
      </c>
      <c r="Q394">
        <v>4.818988805461227E-4</v>
      </c>
      <c r="R394">
        <v>5.7427548408714858E-4</v>
      </c>
      <c r="S394">
        <v>6.1028047406474835E-2</v>
      </c>
      <c r="T394">
        <v>1.0579662474602449</v>
      </c>
      <c r="U394">
        <v>0</v>
      </c>
      <c r="V394">
        <v>9.83545914784799E-2</v>
      </c>
      <c r="W394">
        <v>3.7076202610967314E-2</v>
      </c>
      <c r="X394">
        <v>8.1082144368491097E-3</v>
      </c>
      <c r="Y394">
        <v>1.5629885578227671E-3</v>
      </c>
    </row>
    <row r="395" spans="1:25" x14ac:dyDescent="0.25">
      <c r="A395" s="1096"/>
      <c r="B395" s="1455">
        <v>145</v>
      </c>
      <c r="C395" s="1100">
        <v>0.96315141122193737</v>
      </c>
      <c r="D395" s="1100">
        <v>1.001380484954878</v>
      </c>
      <c r="E395" s="1100">
        <v>0.95659683199978696</v>
      </c>
      <c r="F395" s="1100">
        <v>1.0058655463338284</v>
      </c>
      <c r="G395" s="1100">
        <v>1.0073329888383031</v>
      </c>
      <c r="H395" s="1100">
        <v>1.0101904904668542</v>
      </c>
      <c r="I395" s="1100">
        <v>0.96981589171182991</v>
      </c>
      <c r="K395">
        <v>1.3261626926036729</v>
      </c>
      <c r="L395">
        <v>0</v>
      </c>
      <c r="M395">
        <v>6.8916719001399377E-4</v>
      </c>
      <c r="N395">
        <v>5.557343970840066E-2</v>
      </c>
      <c r="O395">
        <v>8.0434423987307286E-3</v>
      </c>
      <c r="P395">
        <v>1.5835481029524517E-2</v>
      </c>
      <c r="Q395">
        <v>4.4557899131051026E-4</v>
      </c>
      <c r="R395">
        <v>6.8715409100180672E-4</v>
      </c>
      <c r="S395">
        <v>6.1214843856426997E-2</v>
      </c>
      <c r="T395">
        <v>1.0397620864581161</v>
      </c>
      <c r="U395">
        <v>0</v>
      </c>
      <c r="V395">
        <v>9.8973434342633837E-2</v>
      </c>
      <c r="W395">
        <v>3.7478801852229196E-2</v>
      </c>
      <c r="X395">
        <v>6.9673901498909386E-3</v>
      </c>
      <c r="Y395">
        <v>1.8702069154216971E-3</v>
      </c>
    </row>
    <row r="396" spans="1:25" x14ac:dyDescent="0.25">
      <c r="A396" s="1096"/>
      <c r="B396" s="1455">
        <v>146</v>
      </c>
      <c r="C396" s="1100">
        <v>1.0064579458622109</v>
      </c>
      <c r="D396" s="1100">
        <v>0.97961930647967321</v>
      </c>
      <c r="E396" s="1100">
        <v>0.98728937316055432</v>
      </c>
      <c r="F396" s="1100">
        <v>1.0132367901761719</v>
      </c>
      <c r="G396" s="1100">
        <v>1.0217858802784607</v>
      </c>
      <c r="H396" s="1100">
        <v>1.0298829483649132</v>
      </c>
      <c r="I396" s="1100">
        <v>0.96747898748456096</v>
      </c>
      <c r="K396">
        <v>1.3320251502501248</v>
      </c>
      <c r="L396">
        <v>0</v>
      </c>
      <c r="M396">
        <v>6.3664588870925574E-4</v>
      </c>
      <c r="N396">
        <v>5.6340374241096038E-2</v>
      </c>
      <c r="O396">
        <v>7.7728019672555467E-3</v>
      </c>
      <c r="P396">
        <v>1.6277003820947929E-2</v>
      </c>
      <c r="Q396">
        <v>4.4429324904716848E-4</v>
      </c>
      <c r="R396">
        <v>6.3482176667422122E-4</v>
      </c>
      <c r="S396">
        <v>5.9743706397493386E-2</v>
      </c>
      <c r="T396">
        <v>1.0464299614954429</v>
      </c>
      <c r="U396">
        <v>0</v>
      </c>
      <c r="V396">
        <v>9.8600006650564578E-2</v>
      </c>
      <c r="W396">
        <v>3.7293879862423454E-2</v>
      </c>
      <c r="X396">
        <v>7.3971711079413548E-3</v>
      </c>
      <c r="Y396">
        <v>1.727775579948088E-3</v>
      </c>
    </row>
    <row r="397" spans="1:25" x14ac:dyDescent="0.25">
      <c r="A397" s="1096"/>
      <c r="B397" s="1455">
        <v>147</v>
      </c>
      <c r="C397" s="1100">
        <v>1.0158748509224136</v>
      </c>
      <c r="D397" s="1100">
        <v>1.0012147400868161</v>
      </c>
      <c r="E397" s="1100">
        <v>0.98701513110895167</v>
      </c>
      <c r="F397" s="1100">
        <v>1.0183927832690842</v>
      </c>
      <c r="G397" s="1100">
        <v>0.98960559343952881</v>
      </c>
      <c r="H397" s="1100">
        <v>0.97984377446026061</v>
      </c>
      <c r="I397" s="1100">
        <v>0.98158007244601986</v>
      </c>
      <c r="K397">
        <v>1.3272586767717796</v>
      </c>
      <c r="L397">
        <v>0</v>
      </c>
      <c r="M397">
        <v>5.9522467984048782E-4</v>
      </c>
      <c r="N397">
        <v>5.2623388863471211E-2</v>
      </c>
      <c r="O397">
        <v>7.633809303116486E-3</v>
      </c>
      <c r="P397">
        <v>1.6296372499670073E-2</v>
      </c>
      <c r="Q397">
        <v>4.3622730245329626E-4</v>
      </c>
      <c r="R397">
        <v>5.9343214374007764E-4</v>
      </c>
      <c r="S397">
        <v>5.7881013092234319E-2</v>
      </c>
      <c r="T397">
        <v>1.0517632826480536</v>
      </c>
      <c r="U397">
        <v>0</v>
      </c>
      <c r="V397">
        <v>9.6814842896535344E-2</v>
      </c>
      <c r="W397">
        <v>3.4839199103245698E-2</v>
      </c>
      <c r="X397">
        <v>7.3572069286912322E-3</v>
      </c>
      <c r="Y397">
        <v>1.6151266704068827E-3</v>
      </c>
    </row>
    <row r="398" spans="1:25" x14ac:dyDescent="0.25">
      <c r="A398" s="1096"/>
      <c r="B398" s="1455">
        <v>148</v>
      </c>
      <c r="C398" s="1100">
        <v>0.99916024766247979</v>
      </c>
      <c r="D398" s="1100">
        <v>0.99386970532745877</v>
      </c>
      <c r="E398" s="1100">
        <v>1.0187200324021226</v>
      </c>
      <c r="F398" s="1100">
        <v>1.0234120310353962</v>
      </c>
      <c r="G398" s="1100">
        <v>0.99881109586458183</v>
      </c>
      <c r="H398" s="1100">
        <v>0.98842368144326453</v>
      </c>
      <c r="I398" s="1100">
        <v>1.0169760356791036</v>
      </c>
      <c r="K398">
        <v>1.341742613136278</v>
      </c>
      <c r="L398">
        <v>0</v>
      </c>
      <c r="M398">
        <v>5.7329385436099937E-4</v>
      </c>
      <c r="N398">
        <v>5.5779899310453365E-2</v>
      </c>
      <c r="O398">
        <v>7.7922179077514085E-3</v>
      </c>
      <c r="P398">
        <v>1.6806359989799617E-2</v>
      </c>
      <c r="Q398">
        <v>4.5967567961857452E-4</v>
      </c>
      <c r="R398">
        <v>5.7158235018734446E-4</v>
      </c>
      <c r="S398">
        <v>6.1512040745660003E-2</v>
      </c>
      <c r="T398">
        <v>1.0559839662261159</v>
      </c>
      <c r="U398">
        <v>0</v>
      </c>
      <c r="V398">
        <v>9.7703576246062171E-2</v>
      </c>
      <c r="W398">
        <v>3.6241120239425724E-2</v>
      </c>
      <c r="X398">
        <v>7.9098095604258137E-3</v>
      </c>
      <c r="Y398">
        <v>1.5556587351388518E-3</v>
      </c>
    </row>
    <row r="399" spans="1:25" x14ac:dyDescent="0.25">
      <c r="A399" s="1096"/>
      <c r="B399" s="1455">
        <v>149</v>
      </c>
      <c r="C399" s="1100">
        <v>0.96577461582517687</v>
      </c>
      <c r="D399" s="1100">
        <v>1.0069593919685178</v>
      </c>
      <c r="E399" s="1100">
        <v>0.99215792511304512</v>
      </c>
      <c r="F399" s="1100">
        <v>1.0202025132289647</v>
      </c>
      <c r="G399" s="1100">
        <v>0.98442289603432387</v>
      </c>
      <c r="H399" s="1100">
        <v>1.01308174875712</v>
      </c>
      <c r="I399" s="1100">
        <v>0.99017443502206981</v>
      </c>
      <c r="K399">
        <v>1.3430665619969353</v>
      </c>
      <c r="L399">
        <v>0</v>
      </c>
      <c r="M399">
        <v>6.3901892375062914E-4</v>
      </c>
      <c r="N399">
        <v>5.7386224151722988E-2</v>
      </c>
      <c r="O399">
        <v>8.0127645622039573E-3</v>
      </c>
      <c r="P399">
        <v>1.6456212598466344E-2</v>
      </c>
      <c r="Q399">
        <v>4.6026925907363518E-4</v>
      </c>
      <c r="R399">
        <v>6.3715763802622513E-4</v>
      </c>
      <c r="S399">
        <v>6.2270711870459794E-2</v>
      </c>
      <c r="T399">
        <v>1.0534745146865863</v>
      </c>
      <c r="U399">
        <v>0</v>
      </c>
      <c r="V399">
        <v>9.7835178270509651E-2</v>
      </c>
      <c r="W399">
        <v>3.7875516772683034E-2</v>
      </c>
      <c r="X399">
        <v>7.562898059204572E-3</v>
      </c>
      <c r="Y399">
        <v>1.7341330517484585E-3</v>
      </c>
    </row>
    <row r="400" spans="1:25" x14ac:dyDescent="0.25">
      <c r="A400" s="1096"/>
      <c r="B400" s="1455">
        <v>150</v>
      </c>
      <c r="C400" s="1100">
        <v>1.0040099980025157</v>
      </c>
      <c r="D400" s="1100">
        <v>1.0182806164998313</v>
      </c>
      <c r="E400" s="1100">
        <v>0.99548468643175791</v>
      </c>
      <c r="F400" s="1100">
        <v>1.0114614923393479</v>
      </c>
      <c r="G400" s="1100">
        <v>0.98009549708320498</v>
      </c>
      <c r="H400" s="1100">
        <v>0.98432221543960685</v>
      </c>
      <c r="I400" s="1100">
        <v>1.028721490891831</v>
      </c>
      <c r="K400">
        <v>1.3243343818036311</v>
      </c>
      <c r="L400">
        <v>0</v>
      </c>
      <c r="M400">
        <v>5.9048381141705143E-4</v>
      </c>
      <c r="N400">
        <v>5.3558927679208682E-2</v>
      </c>
      <c r="O400">
        <v>7.6740315356003232E-3</v>
      </c>
      <c r="P400">
        <v>1.6339497464613342E-2</v>
      </c>
      <c r="Q400">
        <v>4.4229336404423043E-4</v>
      </c>
      <c r="R400">
        <v>5.8871364324817644E-4</v>
      </c>
      <c r="S400">
        <v>6.0970036294489403E-2</v>
      </c>
      <c r="T400">
        <v>1.0443476453368021</v>
      </c>
      <c r="U400">
        <v>0</v>
      </c>
      <c r="V400">
        <v>9.6652397859169001E-2</v>
      </c>
      <c r="W400">
        <v>3.5279293675772559E-2</v>
      </c>
      <c r="X400">
        <v>7.4697442945791401E-3</v>
      </c>
      <c r="Y400">
        <v>1.6022844675211965E-3</v>
      </c>
    </row>
    <row r="401" spans="1:25" x14ac:dyDescent="0.25">
      <c r="A401" s="1096"/>
      <c r="B401" s="1455">
        <v>151</v>
      </c>
      <c r="C401" s="1100">
        <v>0.97056295829246131</v>
      </c>
      <c r="D401" s="1100">
        <v>0.97778792963650485</v>
      </c>
      <c r="E401" s="1100">
        <v>1.0137470732855198</v>
      </c>
      <c r="F401" s="1100">
        <v>0.97410704876387688</v>
      </c>
      <c r="G401" s="1100">
        <v>0.98381218994116348</v>
      </c>
      <c r="H401" s="1100">
        <v>0.9842732725893979</v>
      </c>
      <c r="I401" s="1100">
        <v>1.034937928487806</v>
      </c>
      <c r="K401">
        <v>1.2963803423973728</v>
      </c>
      <c r="L401">
        <v>0</v>
      </c>
      <c r="M401">
        <v>5.9770417805045189E-4</v>
      </c>
      <c r="N401">
        <v>5.7288046463964681E-2</v>
      </c>
      <c r="O401">
        <v>8.073056624725428E-3</v>
      </c>
      <c r="P401">
        <v>1.6092267513658394E-2</v>
      </c>
      <c r="Q401">
        <v>4.7388929254329044E-4</v>
      </c>
      <c r="R401">
        <v>5.959122753756165E-4</v>
      </c>
      <c r="S401">
        <v>6.4868906362827619E-2</v>
      </c>
      <c r="T401">
        <v>1.0052516143409962</v>
      </c>
      <c r="U401">
        <v>0</v>
      </c>
      <c r="V401">
        <v>9.7703319492004434E-2</v>
      </c>
      <c r="W401">
        <v>3.7329760747434375E-2</v>
      </c>
      <c r="X401">
        <v>7.6793966907499657E-3</v>
      </c>
      <c r="Y401">
        <v>1.6218767711436459E-3</v>
      </c>
    </row>
    <row r="402" spans="1:25" x14ac:dyDescent="0.25">
      <c r="A402" s="1096"/>
      <c r="B402" s="1455">
        <v>152</v>
      </c>
      <c r="C402" s="1100">
        <v>0.97951069708946814</v>
      </c>
      <c r="D402" s="1100">
        <v>1.0176912098052555</v>
      </c>
      <c r="E402" s="1100">
        <v>1.0070522484693125</v>
      </c>
      <c r="F402" s="1100">
        <v>1.0139512525048966</v>
      </c>
      <c r="G402" s="1100">
        <v>0.99526296043029761</v>
      </c>
      <c r="H402" s="1100">
        <v>0.99941081329763459</v>
      </c>
      <c r="I402" s="1100">
        <v>0.98497252928844925</v>
      </c>
      <c r="K402">
        <v>1.3323461074675211</v>
      </c>
      <c r="L402">
        <v>0</v>
      </c>
      <c r="M402">
        <v>6.0009692047901825E-4</v>
      </c>
      <c r="N402">
        <v>5.6369131413907918E-2</v>
      </c>
      <c r="O402">
        <v>7.8706738797244286E-3</v>
      </c>
      <c r="P402">
        <v>1.6521317312328664E-2</v>
      </c>
      <c r="Q402">
        <v>4.5892844695971066E-4</v>
      </c>
      <c r="R402">
        <v>5.9832509406243615E-4</v>
      </c>
      <c r="S402">
        <v>6.0327136797836474E-2</v>
      </c>
      <c r="T402">
        <v>1.0465696859141573</v>
      </c>
      <c r="U402">
        <v>0</v>
      </c>
      <c r="V402">
        <v>9.8016467613846525E-2</v>
      </c>
      <c r="W402">
        <v>3.6876228505468046E-2</v>
      </c>
      <c r="X402">
        <v>7.7098657414838611E-3</v>
      </c>
      <c r="Y402">
        <v>1.6284436682237023E-3</v>
      </c>
    </row>
    <row r="403" spans="1:25" x14ac:dyDescent="0.25">
      <c r="A403" s="1096"/>
      <c r="B403" s="1455">
        <v>153</v>
      </c>
      <c r="C403" s="1100">
        <v>0.98951681237671485</v>
      </c>
      <c r="D403" s="1100">
        <v>1.0056116164417448</v>
      </c>
      <c r="E403" s="1100">
        <v>1.015822436175237</v>
      </c>
      <c r="F403" s="1100">
        <v>1.008915561640092</v>
      </c>
      <c r="G403" s="1100">
        <v>0.97895476569352202</v>
      </c>
      <c r="H403" s="1100">
        <v>0.97682666212120661</v>
      </c>
      <c r="I403" s="1100">
        <v>0.98645987809061775</v>
      </c>
      <c r="K403">
        <v>1.3229711629591623</v>
      </c>
      <c r="L403">
        <v>0</v>
      </c>
      <c r="M403">
        <v>5.7284949546461774E-4</v>
      </c>
      <c r="N403">
        <v>5.5249509237167219E-2</v>
      </c>
      <c r="O403">
        <v>7.8305604344926401E-3</v>
      </c>
      <c r="P403">
        <v>1.6527825243511002E-2</v>
      </c>
      <c r="Q403">
        <v>4.6060681714172631E-4</v>
      </c>
      <c r="R403">
        <v>5.7111901441282177E-4</v>
      </c>
      <c r="S403">
        <v>5.9513720656474096E-2</v>
      </c>
      <c r="T403">
        <v>1.0411116361069741</v>
      </c>
      <c r="U403">
        <v>0</v>
      </c>
      <c r="V403">
        <v>9.6981421010769203E-2</v>
      </c>
      <c r="W403">
        <v>3.5957553138349529E-2</v>
      </c>
      <c r="X403">
        <v>7.7856631074351259E-3</v>
      </c>
      <c r="Y403">
        <v>1.5543976878991982E-3</v>
      </c>
    </row>
    <row r="404" spans="1:25" x14ac:dyDescent="0.25">
      <c r="A404" s="1096"/>
      <c r="B404" s="1455">
        <v>154</v>
      </c>
      <c r="C404" s="1100">
        <v>0.98290969983841059</v>
      </c>
      <c r="D404" s="1100">
        <v>0.99212837898515849</v>
      </c>
      <c r="E404" s="1100">
        <v>0.99445090063266095</v>
      </c>
      <c r="F404" s="1100">
        <v>1.0115980966637119</v>
      </c>
      <c r="G404" s="1100">
        <v>1.0109907742991191</v>
      </c>
      <c r="H404" s="1100">
        <v>1.0362556218014183</v>
      </c>
      <c r="I404" s="1100">
        <v>1.0191494253800728</v>
      </c>
      <c r="K404">
        <v>1.3379635417962854</v>
      </c>
      <c r="L404">
        <v>0</v>
      </c>
      <c r="M404">
        <v>6.4300216196488383E-4</v>
      </c>
      <c r="N404">
        <v>5.8149344266060637E-2</v>
      </c>
      <c r="O404">
        <v>7.9205191468034852E-3</v>
      </c>
      <c r="P404">
        <v>1.6400796020505422E-2</v>
      </c>
      <c r="Q404">
        <v>4.5602425212413816E-4</v>
      </c>
      <c r="R404">
        <v>6.4117115771703654E-4</v>
      </c>
      <c r="S404">
        <v>6.4216233935728492E-2</v>
      </c>
      <c r="T404">
        <v>1.0445199756841062</v>
      </c>
      <c r="U404">
        <v>0</v>
      </c>
      <c r="V404">
        <v>9.8675663523928217E-2</v>
      </c>
      <c r="W404">
        <v>3.8326638852917552E-2</v>
      </c>
      <c r="X404">
        <v>7.55512058906899E-3</v>
      </c>
      <c r="Y404">
        <v>1.745056529290437E-3</v>
      </c>
    </row>
    <row r="405" spans="1:25" x14ac:dyDescent="0.25">
      <c r="A405" s="1096"/>
      <c r="B405" s="1455">
        <v>155</v>
      </c>
      <c r="C405" s="1100">
        <v>1.0056057284245585</v>
      </c>
      <c r="D405" s="1100">
        <v>0.97556444226014649</v>
      </c>
      <c r="E405" s="1100">
        <v>1.0131657269337881</v>
      </c>
      <c r="F405" s="1100">
        <v>1.0056384653782926</v>
      </c>
      <c r="G405" s="1100">
        <v>0.9554227432158392</v>
      </c>
      <c r="H405" s="1100">
        <v>0.99102102798688607</v>
      </c>
      <c r="I405" s="1100">
        <v>1.0049200303389139</v>
      </c>
      <c r="K405">
        <v>1.320329860930856</v>
      </c>
      <c r="L405">
        <v>0</v>
      </c>
      <c r="M405">
        <v>5.8206263680619062E-4</v>
      </c>
      <c r="N405">
        <v>5.5692191233186514E-2</v>
      </c>
      <c r="O405">
        <v>7.7986864246598602E-3</v>
      </c>
      <c r="P405">
        <v>1.6450278148105055E-2</v>
      </c>
      <c r="Q405">
        <v>4.5751828130892279E-4</v>
      </c>
      <c r="R405">
        <v>5.8032950867694072E-4</v>
      </c>
      <c r="S405">
        <v>6.1074409261215094E-2</v>
      </c>
      <c r="T405">
        <v>1.0378083342932907</v>
      </c>
      <c r="U405">
        <v>0</v>
      </c>
      <c r="V405">
        <v>9.5439147572754929E-2</v>
      </c>
      <c r="W405">
        <v>3.6302285943229651E-2</v>
      </c>
      <c r="X405">
        <v>7.7292772841857397E-3</v>
      </c>
      <c r="Y405">
        <v>1.5794656170475113E-3</v>
      </c>
    </row>
    <row r="406" spans="1:25" x14ac:dyDescent="0.25">
      <c r="A406" s="1096"/>
      <c r="B406" s="1455">
        <v>156</v>
      </c>
      <c r="C406" s="1100">
        <v>1.0245930794502967</v>
      </c>
      <c r="D406" s="1100">
        <v>1.0000532206502162</v>
      </c>
      <c r="E406" s="1100">
        <v>0.96160429015860749</v>
      </c>
      <c r="F406" s="1100">
        <v>1.0289385843563768</v>
      </c>
      <c r="G406" s="1100">
        <v>0.99049029718692738</v>
      </c>
      <c r="H406" s="1100">
        <v>1.0038279053390597</v>
      </c>
      <c r="I406" s="1100">
        <v>1.0100384510730274</v>
      </c>
      <c r="K406">
        <v>1.3400619612650859</v>
      </c>
      <c r="L406">
        <v>0</v>
      </c>
      <c r="M406">
        <v>6.3748871864044128E-4</v>
      </c>
      <c r="N406">
        <v>5.2191189257483325E-2</v>
      </c>
      <c r="O406">
        <v>7.5663061149259872E-3</v>
      </c>
      <c r="P406">
        <v>1.6160744308980908E-2</v>
      </c>
      <c r="Q406">
        <v>4.2131115365759051E-4</v>
      </c>
      <c r="R406">
        <v>6.3561477270276576E-4</v>
      </c>
      <c r="S406">
        <v>5.9786586175795568E-2</v>
      </c>
      <c r="T406">
        <v>1.0634529843523879</v>
      </c>
      <c r="U406">
        <v>0</v>
      </c>
      <c r="V406">
        <v>9.6622362402560849E-2</v>
      </c>
      <c r="W406">
        <v>3.5089767556329553E-2</v>
      </c>
      <c r="X406">
        <v>7.0426500079580128E-3</v>
      </c>
      <c r="Y406">
        <v>1.7299338809434188E-3</v>
      </c>
    </row>
    <row r="407" spans="1:25" x14ac:dyDescent="0.25">
      <c r="A407" s="1096"/>
      <c r="B407" s="1455">
        <v>157</v>
      </c>
      <c r="C407" s="1100">
        <v>0.9572843502461833</v>
      </c>
      <c r="D407" s="1100">
        <v>0.97107798551126878</v>
      </c>
      <c r="E407" s="1100">
        <v>1.0437941399240005</v>
      </c>
      <c r="F407" s="1100">
        <v>0.96288904017250743</v>
      </c>
      <c r="G407" s="1100">
        <v>1.0002391979947867</v>
      </c>
      <c r="H407" s="1100">
        <v>1.0165033907698808</v>
      </c>
      <c r="I407" s="1100">
        <v>1.0045152090448508</v>
      </c>
      <c r="K407">
        <v>1.293115643496173</v>
      </c>
      <c r="L407">
        <v>0</v>
      </c>
      <c r="M407">
        <v>5.8948364646919612E-4</v>
      </c>
      <c r="N407">
        <v>6.1863208262888991E-2</v>
      </c>
      <c r="O407">
        <v>8.2154446791917711E-3</v>
      </c>
      <c r="P407">
        <v>1.6293602631754448E-2</v>
      </c>
      <c r="Q407">
        <v>4.9679893021650475E-4</v>
      </c>
      <c r="R407">
        <v>5.8777242292063175E-4</v>
      </c>
      <c r="S407">
        <v>6.5149222292139611E-2</v>
      </c>
      <c r="T407">
        <v>0.99283845787359482</v>
      </c>
      <c r="U407">
        <v>0</v>
      </c>
      <c r="V407">
        <v>9.88868027033286E-2</v>
      </c>
      <c r="W407">
        <v>3.9613326394767744E-2</v>
      </c>
      <c r="X407">
        <v>8.1607681757744997E-3</v>
      </c>
      <c r="Y407">
        <v>1.599722776062818E-3</v>
      </c>
    </row>
    <row r="408" spans="1:25" x14ac:dyDescent="0.25">
      <c r="A408" s="1096"/>
      <c r="B408" s="1455">
        <v>158</v>
      </c>
      <c r="C408" s="1100">
        <v>0.97754571410316082</v>
      </c>
      <c r="D408" s="1100">
        <v>1.022091053059242</v>
      </c>
      <c r="E408" s="1100">
        <v>0.96907277367661315</v>
      </c>
      <c r="F408" s="1100">
        <v>1.0195621133237187</v>
      </c>
      <c r="G408" s="1100">
        <v>1.0184764065115777</v>
      </c>
      <c r="H408" s="1100">
        <v>0.98724162560514794</v>
      </c>
      <c r="I408" s="1100">
        <v>0.97626219696143157</v>
      </c>
      <c r="K408">
        <v>1.3350777904980256</v>
      </c>
      <c r="L408">
        <v>0</v>
      </c>
      <c r="M408">
        <v>6.414656361357976E-4</v>
      </c>
      <c r="N408">
        <v>5.3715665577423848E-2</v>
      </c>
      <c r="O408">
        <v>7.8634615546434115E-3</v>
      </c>
      <c r="P408">
        <v>1.6149827850201109E-2</v>
      </c>
      <c r="Q408">
        <v>4.4122141715159403E-4</v>
      </c>
      <c r="R408">
        <v>6.3954831987435789E-4</v>
      </c>
      <c r="S408">
        <v>5.9371289063952878E-2</v>
      </c>
      <c r="T408">
        <v>1.0535274401151695</v>
      </c>
      <c r="U408">
        <v>0</v>
      </c>
      <c r="V408">
        <v>9.9147635336583648E-2</v>
      </c>
      <c r="W408">
        <v>3.5950324594846775E-2</v>
      </c>
      <c r="X408">
        <v>7.1722026046627954E-3</v>
      </c>
      <c r="Y408">
        <v>1.7406396996510166E-3</v>
      </c>
    </row>
    <row r="409" spans="1:25" x14ac:dyDescent="0.25">
      <c r="A409" s="1096"/>
      <c r="B409" s="1455">
        <v>159</v>
      </c>
      <c r="C409" s="1100">
        <v>0.97360194972078329</v>
      </c>
      <c r="D409" s="1100">
        <v>0.98389365377118876</v>
      </c>
      <c r="E409" s="1100">
        <v>0.99672797180803319</v>
      </c>
      <c r="F409" s="1100">
        <v>1.0204995188027974</v>
      </c>
      <c r="G409" s="1100">
        <v>1.0235088212024774</v>
      </c>
      <c r="H409" s="1100">
        <v>0.97465168836998051</v>
      </c>
      <c r="I409" s="1100">
        <v>0.99567218072065333</v>
      </c>
      <c r="K409">
        <v>1.3411958142569562</v>
      </c>
      <c r="L409">
        <v>0</v>
      </c>
      <c r="M409">
        <v>6.0971254435426955E-4</v>
      </c>
      <c r="N409">
        <v>5.5509565644623164E-2</v>
      </c>
      <c r="O409">
        <v>8.0235206935917961E-3</v>
      </c>
      <c r="P409">
        <v>1.6530005688227351E-2</v>
      </c>
      <c r="Q409">
        <v>4.6301572517066912E-4</v>
      </c>
      <c r="R409">
        <v>6.0786659615698238E-4</v>
      </c>
      <c r="S409">
        <v>6.1685537913644541E-2</v>
      </c>
      <c r="T409">
        <v>1.053641617263595</v>
      </c>
      <c r="U409">
        <v>0</v>
      </c>
      <c r="V409">
        <v>9.9524828828037565E-2</v>
      </c>
      <c r="W409">
        <v>3.6537087986182305E-2</v>
      </c>
      <c r="X409">
        <v>7.6280679705109083E-3</v>
      </c>
      <c r="Y409">
        <v>1.654412491569737E-3</v>
      </c>
    </row>
    <row r="410" spans="1:25" x14ac:dyDescent="0.25">
      <c r="A410" s="1096"/>
      <c r="B410" s="1455">
        <v>160</v>
      </c>
      <c r="C410" s="1100">
        <v>1.0142327550632704</v>
      </c>
      <c r="D410" s="1100">
        <v>0.96184514360955631</v>
      </c>
      <c r="E410" s="1100">
        <v>0.97955107497670446</v>
      </c>
      <c r="F410" s="1100">
        <v>0.98602201613755058</v>
      </c>
      <c r="G410" s="1100">
        <v>1.0196197243345055</v>
      </c>
      <c r="H410" s="1100">
        <v>1.0369916723542385</v>
      </c>
      <c r="I410" s="1100">
        <v>1.0338678738961125</v>
      </c>
      <c r="K410">
        <v>1.3077813258806485</v>
      </c>
      <c r="L410">
        <v>0</v>
      </c>
      <c r="M410">
        <v>6.5114423947098003E-4</v>
      </c>
      <c r="N410">
        <v>5.6291363298713294E-2</v>
      </c>
      <c r="O410">
        <v>7.7680214883734059E-3</v>
      </c>
      <c r="P410">
        <v>1.5863267097089198E-2</v>
      </c>
      <c r="Q410">
        <v>4.4054797419602296E-4</v>
      </c>
      <c r="R410">
        <v>6.4929136604624722E-4</v>
      </c>
      <c r="S410">
        <v>6.4194531438493671E-2</v>
      </c>
      <c r="T410">
        <v>1.0185545343399622</v>
      </c>
      <c r="U410">
        <v>0</v>
      </c>
      <c r="V410">
        <v>9.8297921799089957E-2</v>
      </c>
      <c r="W410">
        <v>3.743547844397227E-2</v>
      </c>
      <c r="X410">
        <v>7.1703558146455548E-3</v>
      </c>
      <c r="Y410">
        <v>1.7671570595365919E-3</v>
      </c>
    </row>
    <row r="411" spans="1:25" x14ac:dyDescent="0.25">
      <c r="A411" s="1096"/>
      <c r="B411" s="1455">
        <v>161</v>
      </c>
      <c r="C411" s="1100">
        <v>1.0278335577862887</v>
      </c>
      <c r="D411" s="1100">
        <v>1.0303781459916119</v>
      </c>
      <c r="E411" s="1100">
        <v>1.0180038327426875</v>
      </c>
      <c r="F411" s="1100">
        <v>0.97500346901687585</v>
      </c>
      <c r="G411" s="1100">
        <v>1.0030943650112349</v>
      </c>
      <c r="H411" s="1100">
        <v>0.9809561649759323</v>
      </c>
      <c r="I411" s="1100">
        <v>0.97498392556193569</v>
      </c>
      <c r="K411">
        <v>1.279697032323234</v>
      </c>
      <c r="L411">
        <v>0</v>
      </c>
      <c r="M411">
        <v>5.4597937547657793E-4</v>
      </c>
      <c r="N411">
        <v>5.300640124715747E-2</v>
      </c>
      <c r="O411">
        <v>7.4661499827123994E-3</v>
      </c>
      <c r="P411">
        <v>1.60246513968497E-2</v>
      </c>
      <c r="Q411">
        <v>4.4012663224177661E-4</v>
      </c>
      <c r="R411">
        <v>5.4433700755136209E-4</v>
      </c>
      <c r="S411">
        <v>5.6013113845750043E-2</v>
      </c>
      <c r="T411">
        <v>1.0060551182164637</v>
      </c>
      <c r="U411">
        <v>0</v>
      </c>
      <c r="V411">
        <v>9.7217860683719431E-2</v>
      </c>
      <c r="W411">
        <v>3.4453584959991103E-2</v>
      </c>
      <c r="X411">
        <v>7.5401618323661128E-3</v>
      </c>
      <c r="Y411">
        <v>1.4815058939084942E-3</v>
      </c>
    </row>
    <row r="412" spans="1:25" x14ac:dyDescent="0.25">
      <c r="A412" s="1096"/>
      <c r="B412" s="1455">
        <v>162</v>
      </c>
      <c r="C412" s="1100">
        <v>0.96520924894449911</v>
      </c>
      <c r="D412" s="1100">
        <v>1.0067363041783781</v>
      </c>
      <c r="E412" s="1100">
        <v>1.0131396737483167</v>
      </c>
      <c r="F412" s="1100">
        <v>0.99435227991168829</v>
      </c>
      <c r="G412" s="1100">
        <v>1.0277197440731691</v>
      </c>
      <c r="H412" s="1100">
        <v>0.9872775861111196</v>
      </c>
      <c r="I412" s="1100">
        <v>1.016757055569836</v>
      </c>
      <c r="K412">
        <v>1.3178515184007782</v>
      </c>
      <c r="L412">
        <v>0</v>
      </c>
      <c r="M412">
        <v>5.9661202809515841E-4</v>
      </c>
      <c r="N412">
        <v>5.707915286820766E-2</v>
      </c>
      <c r="O412">
        <v>8.0234926051581095E-3</v>
      </c>
      <c r="P412">
        <v>1.6381006618483945E-2</v>
      </c>
      <c r="Q412">
        <v>4.7069453884430014E-4</v>
      </c>
      <c r="R412">
        <v>5.9482884250622715E-4</v>
      </c>
      <c r="S412">
        <v>6.3181195305108726E-2</v>
      </c>
      <c r="T412">
        <v>1.0261618703905691</v>
      </c>
      <c r="U412">
        <v>0</v>
      </c>
      <c r="V412">
        <v>9.996859215504153E-2</v>
      </c>
      <c r="W412">
        <v>3.7206930412255874E-2</v>
      </c>
      <c r="X412">
        <v>7.7614386686706257E-3</v>
      </c>
      <c r="Y412">
        <v>1.6189280240267174E-3</v>
      </c>
    </row>
    <row r="413" spans="1:25" x14ac:dyDescent="0.25">
      <c r="A413" s="1096"/>
      <c r="B413" s="1455">
        <v>163</v>
      </c>
      <c r="C413" s="1100">
        <v>0.99980011454896489</v>
      </c>
      <c r="D413" s="1100">
        <v>0.99984398196689628</v>
      </c>
      <c r="E413" s="1100">
        <v>0.97978071649463283</v>
      </c>
      <c r="F413" s="1100">
        <v>0.99928123736181096</v>
      </c>
      <c r="G413" s="1100">
        <v>1.0077056750090618</v>
      </c>
      <c r="H413" s="1100">
        <v>0.98467904012957219</v>
      </c>
      <c r="I413" s="1100">
        <v>0.99437319605644769</v>
      </c>
      <c r="K413">
        <v>1.3120408688076457</v>
      </c>
      <c r="L413">
        <v>0</v>
      </c>
      <c r="M413">
        <v>6.1728259548225284E-4</v>
      </c>
      <c r="N413">
        <v>5.3393023177313023E-2</v>
      </c>
      <c r="O413">
        <v>7.7590255483538763E-3</v>
      </c>
      <c r="P413">
        <v>1.5987346075155114E-2</v>
      </c>
      <c r="Q413">
        <v>4.4014052630944204E-4</v>
      </c>
      <c r="R413">
        <v>6.1543275978174117E-4</v>
      </c>
      <c r="S413">
        <v>5.976189902510607E-2</v>
      </c>
      <c r="T413">
        <v>1.0322442565437888</v>
      </c>
      <c r="U413">
        <v>0</v>
      </c>
      <c r="V413">
        <v>9.8074506796354849E-2</v>
      </c>
      <c r="W413">
        <v>3.5503069003860528E-2</v>
      </c>
      <c r="X413">
        <v>7.2044468523322731E-3</v>
      </c>
      <c r="Y413">
        <v>1.6750050947711616E-3</v>
      </c>
    </row>
    <row r="414" spans="1:25" x14ac:dyDescent="0.25">
      <c r="A414" s="1096"/>
      <c r="B414" s="1455">
        <v>164</v>
      </c>
      <c r="C414" s="1100">
        <v>0.97957839326912233</v>
      </c>
      <c r="D414" s="1100">
        <v>1.0004204945198132</v>
      </c>
      <c r="E414" s="1100">
        <v>0.99698121027889031</v>
      </c>
      <c r="F414" s="1100">
        <v>0.97873515848505777</v>
      </c>
      <c r="G414" s="1100">
        <v>0.99666351233298955</v>
      </c>
      <c r="H414" s="1100">
        <v>0.97711870681333124</v>
      </c>
      <c r="I414" s="1100">
        <v>0.96704443630154635</v>
      </c>
      <c r="K414">
        <v>1.2920897302051015</v>
      </c>
      <c r="L414">
        <v>0</v>
      </c>
      <c r="M414">
        <v>6.0317518685370597E-4</v>
      </c>
      <c r="N414">
        <v>5.4956851790629035E-2</v>
      </c>
      <c r="O414">
        <v>7.921673220848878E-3</v>
      </c>
      <c r="P414">
        <v>1.5891102095276454E-2</v>
      </c>
      <c r="Q414">
        <v>4.5725496468488756E-4</v>
      </c>
      <c r="R414">
        <v>6.0135364163038945E-4</v>
      </c>
      <c r="S414">
        <v>5.9089412589133701E-2</v>
      </c>
      <c r="T414">
        <v>1.0105135023874356</v>
      </c>
      <c r="U414">
        <v>0</v>
      </c>
      <c r="V414">
        <v>9.8071156064836518E-2</v>
      </c>
      <c r="W414">
        <v>3.6167827228914616E-2</v>
      </c>
      <c r="X414">
        <v>7.386085032220267E-3</v>
      </c>
      <c r="Y414">
        <v>1.636686376343234E-3</v>
      </c>
    </row>
    <row r="415" spans="1:25" x14ac:dyDescent="0.25">
      <c r="A415" s="1096"/>
      <c r="B415" s="1455">
        <v>165</v>
      </c>
      <c r="C415" s="1100">
        <v>1.0323869559181176</v>
      </c>
      <c r="D415" s="1100">
        <v>1.0248961823009588</v>
      </c>
      <c r="E415" s="1100">
        <v>0.9978028258889341</v>
      </c>
      <c r="F415" s="1100">
        <v>0.99887928199324538</v>
      </c>
      <c r="G415" s="1100">
        <v>1.0120670743162796</v>
      </c>
      <c r="H415" s="1100">
        <v>0.97673093511798637</v>
      </c>
      <c r="I415" s="1100">
        <v>0.96380360440276946</v>
      </c>
      <c r="K415">
        <v>1.3024966007583445</v>
      </c>
      <c r="L415">
        <v>0</v>
      </c>
      <c r="M415">
        <v>5.6562551573658814E-4</v>
      </c>
      <c r="N415">
        <v>5.1663651136124734E-2</v>
      </c>
      <c r="O415">
        <v>7.4443361358623198E-3</v>
      </c>
      <c r="P415">
        <v>1.612255943175999E-2</v>
      </c>
      <c r="Q415">
        <v>4.3005764312447714E-4</v>
      </c>
      <c r="R415">
        <v>5.6391668963942459E-4</v>
      </c>
      <c r="S415">
        <v>5.5147400544046182E-2</v>
      </c>
      <c r="T415">
        <v>1.0312871893043531</v>
      </c>
      <c r="U415">
        <v>0</v>
      </c>
      <c r="V415">
        <v>9.7523168884790956E-2</v>
      </c>
      <c r="W415">
        <v>3.3983895138571175E-2</v>
      </c>
      <c r="X415">
        <v>7.3612560316959124E-3</v>
      </c>
      <c r="Y415">
        <v>1.5347953341117342E-3</v>
      </c>
    </row>
    <row r="416" spans="1:25" x14ac:dyDescent="0.25">
      <c r="A416" s="1096"/>
      <c r="B416" s="1455">
        <v>166</v>
      </c>
      <c r="C416" s="1100">
        <v>1.0072497716824442</v>
      </c>
      <c r="D416" s="1100">
        <v>1.0126473273285437</v>
      </c>
      <c r="E416" s="1100">
        <v>1.0061744854697836</v>
      </c>
      <c r="F416" s="1100">
        <v>0.97524155911211274</v>
      </c>
      <c r="G416" s="1100">
        <v>0.96097352717400752</v>
      </c>
      <c r="H416" s="1100">
        <v>0.99881911120405598</v>
      </c>
      <c r="I416" s="1100">
        <v>0.98274374226938199</v>
      </c>
      <c r="K416">
        <v>1.2847659406738585</v>
      </c>
      <c r="L416">
        <v>0</v>
      </c>
      <c r="M416">
        <v>5.8545143350099233E-4</v>
      </c>
      <c r="N416">
        <v>5.4847761249426079E-2</v>
      </c>
      <c r="O416">
        <v>7.6689336211678873E-3</v>
      </c>
      <c r="P416">
        <v>1.5908444140899074E-2</v>
      </c>
      <c r="Q416">
        <v>4.4677231776354097E-4</v>
      </c>
      <c r="R416">
        <v>5.8372182485084273E-4</v>
      </c>
      <c r="S416">
        <v>5.867071323820465E-2</v>
      </c>
      <c r="T416">
        <v>1.0066400274424494</v>
      </c>
      <c r="U416">
        <v>0</v>
      </c>
      <c r="V416">
        <v>9.5659743453345783E-2</v>
      </c>
      <c r="W416">
        <v>3.5899586794219326E-2</v>
      </c>
      <c r="X416">
        <v>7.4369896416374825E-3</v>
      </c>
      <c r="Y416">
        <v>1.5886983833961466E-3</v>
      </c>
    </row>
    <row r="417" spans="1:25" x14ac:dyDescent="0.25">
      <c r="A417" s="1096"/>
      <c r="B417" s="1455">
        <v>167</v>
      </c>
      <c r="C417" s="1100">
        <v>0.9697145127876462</v>
      </c>
      <c r="D417" s="1100">
        <v>1.0333542786703913</v>
      </c>
      <c r="E417" s="1100">
        <v>0.99771501764338621</v>
      </c>
      <c r="F417" s="1100">
        <v>0.96129762725018975</v>
      </c>
      <c r="G417" s="1100">
        <v>1.007659625973915</v>
      </c>
      <c r="H417" s="1100">
        <v>1.0097022361624766</v>
      </c>
      <c r="I417" s="1100">
        <v>1.033911325481081</v>
      </c>
      <c r="K417">
        <v>1.2821802586576241</v>
      </c>
      <c r="L417">
        <v>0</v>
      </c>
      <c r="M417">
        <v>6.2057933502590601E-4</v>
      </c>
      <c r="N417">
        <v>5.6673645933323025E-2</v>
      </c>
      <c r="O417">
        <v>7.8994278299653071E-3</v>
      </c>
      <c r="P417">
        <v>1.5728857100295316E-2</v>
      </c>
      <c r="Q417">
        <v>4.563078621964962E-4</v>
      </c>
      <c r="R417">
        <v>6.1876570870518283E-4</v>
      </c>
      <c r="S417">
        <v>6.3764175480159238E-2</v>
      </c>
      <c r="T417">
        <v>0.99248874338159276</v>
      </c>
      <c r="U417">
        <v>0</v>
      </c>
      <c r="V417">
        <v>9.8861265007906943E-2</v>
      </c>
      <c r="W417">
        <v>3.728137468522464E-2</v>
      </c>
      <c r="X417">
        <v>7.3441987202465158E-3</v>
      </c>
      <c r="Y417">
        <v>1.6840762830344529E-3</v>
      </c>
    </row>
    <row r="418" spans="1:25" x14ac:dyDescent="0.25">
      <c r="A418" s="1096"/>
      <c r="B418" s="1455">
        <v>168</v>
      </c>
      <c r="C418" s="1100">
        <v>0.96977718721985073</v>
      </c>
      <c r="D418" s="1100">
        <v>1.0432154043002027</v>
      </c>
      <c r="E418" s="1100">
        <v>0.98073456482881971</v>
      </c>
      <c r="F418" s="1100">
        <v>0.96344212284564346</v>
      </c>
      <c r="G418" s="1100">
        <v>0.98682057671605472</v>
      </c>
      <c r="H418" s="1100">
        <v>1.0249451102703153</v>
      </c>
      <c r="I418" s="1100">
        <v>0.98729250857124762</v>
      </c>
      <c r="K418">
        <v>1.2805869892829687</v>
      </c>
      <c r="L418">
        <v>0</v>
      </c>
      <c r="M418">
        <v>6.4997678524510497E-4</v>
      </c>
      <c r="N418">
        <v>5.6390112979680378E-2</v>
      </c>
      <c r="O418">
        <v>7.8647471756016028E-3</v>
      </c>
      <c r="P418">
        <v>1.551464507886223E-2</v>
      </c>
      <c r="Q418">
        <v>4.4657039266836741E-4</v>
      </c>
      <c r="R418">
        <v>6.4810549542075103E-4</v>
      </c>
      <c r="S418">
        <v>6.1025976079791593E-2</v>
      </c>
      <c r="T418">
        <v>0.99519503127261066</v>
      </c>
      <c r="U418">
        <v>0</v>
      </c>
      <c r="V418">
        <v>9.7832495305769776E-2</v>
      </c>
      <c r="W418">
        <v>3.7474363578223611E-2</v>
      </c>
      <c r="X418">
        <v>7.0809891989685753E-3</v>
      </c>
      <c r="Y418">
        <v>1.7639295106161379E-3</v>
      </c>
    </row>
    <row r="419" spans="1:25" x14ac:dyDescent="0.25">
      <c r="A419" s="1096"/>
      <c r="B419" s="1455">
        <v>169</v>
      </c>
      <c r="C419" s="1100">
        <v>1.016395112887819</v>
      </c>
      <c r="D419" s="1100">
        <v>1.0117466736349983</v>
      </c>
      <c r="E419" s="1100">
        <v>0.96812883488018819</v>
      </c>
      <c r="F419" s="1100">
        <v>0.95696592045079487</v>
      </c>
      <c r="G419" s="1100">
        <v>0.98522264796762671</v>
      </c>
      <c r="H419" s="1100">
        <v>1.0058083406268592</v>
      </c>
      <c r="I419" s="1100">
        <v>1.0055054199172517</v>
      </c>
      <c r="K419">
        <v>1.2650762728224982</v>
      </c>
      <c r="L419">
        <v>0</v>
      </c>
      <c r="M419">
        <v>6.3234330892672985E-4</v>
      </c>
      <c r="N419">
        <v>5.2803550307593428E-2</v>
      </c>
      <c r="O419">
        <v>7.5935085273329591E-3</v>
      </c>
      <c r="P419">
        <v>1.5247269127214989E-2</v>
      </c>
      <c r="Q419">
        <v>4.256630743642344E-4</v>
      </c>
      <c r="R419">
        <v>6.304881483224496E-4</v>
      </c>
      <c r="S419">
        <v>5.9691457096177805E-2</v>
      </c>
      <c r="T419">
        <v>0.9888736763421655</v>
      </c>
      <c r="U419">
        <v>0</v>
      </c>
      <c r="V419">
        <v>9.6569670589466375E-2</v>
      </c>
      <c r="W419">
        <v>3.5360204134137027E-2</v>
      </c>
      <c r="X419">
        <v>6.7971478852793497E-3</v>
      </c>
      <c r="Y419">
        <v>1.715980899371472E-3</v>
      </c>
    </row>
    <row r="420" spans="1:25" x14ac:dyDescent="0.25">
      <c r="A420" s="1096"/>
      <c r="B420" s="1455">
        <v>170</v>
      </c>
      <c r="C420" s="1100">
        <v>1.0098460288816249</v>
      </c>
      <c r="D420" s="1100">
        <v>1.012371148329821</v>
      </c>
      <c r="E420" s="1100">
        <v>1.0188201699197468</v>
      </c>
      <c r="F420" s="1100">
        <v>1.0141572868793927</v>
      </c>
      <c r="G420" s="1100">
        <v>1.0217166759162186</v>
      </c>
      <c r="H420" s="1100">
        <v>0.97198251620937237</v>
      </c>
      <c r="I420" s="1100">
        <v>0.9995079322554784</v>
      </c>
      <c r="K420">
        <v>1.3266528121142389</v>
      </c>
      <c r="L420">
        <v>0</v>
      </c>
      <c r="M420">
        <v>5.5357693903690668E-4</v>
      </c>
      <c r="N420">
        <v>5.3875044476905741E-2</v>
      </c>
      <c r="O420">
        <v>7.6531165932859288E-3</v>
      </c>
      <c r="P420">
        <v>1.6648713663681276E-2</v>
      </c>
      <c r="Q420">
        <v>4.5151484256689042E-4</v>
      </c>
      <c r="R420">
        <v>5.5189634292180474E-4</v>
      </c>
      <c r="S420">
        <v>5.8731665527061848E-2</v>
      </c>
      <c r="T420">
        <v>1.0464317069710412</v>
      </c>
      <c r="U420">
        <v>0</v>
      </c>
      <c r="V420">
        <v>9.8549385847894327E-2</v>
      </c>
      <c r="W420">
        <v>3.5001452017109254E-2</v>
      </c>
      <c r="X420">
        <v>7.8098128579534541E-3</v>
      </c>
      <c r="Y420">
        <v>1.5020799128526038E-3</v>
      </c>
    </row>
    <row r="421" spans="1:25" x14ac:dyDescent="0.25">
      <c r="A421" s="1096"/>
      <c r="B421" s="1455">
        <v>171</v>
      </c>
      <c r="C421" s="1100">
        <v>1.0082291422828289</v>
      </c>
      <c r="D421" s="1100">
        <v>0.96021022716413862</v>
      </c>
      <c r="E421" s="1100">
        <v>0.9659731488414558</v>
      </c>
      <c r="F421" s="1100">
        <v>1.0074281053095173</v>
      </c>
      <c r="G421" s="1100">
        <v>0.97900116597146203</v>
      </c>
      <c r="H421" s="1100">
        <v>1.0345777657005295</v>
      </c>
      <c r="I421" s="1100">
        <v>1.0096023261641127</v>
      </c>
      <c r="K421">
        <v>1.3268963960107025</v>
      </c>
      <c r="L421">
        <v>0</v>
      </c>
      <c r="M421">
        <v>6.7254007914759322E-4</v>
      </c>
      <c r="N421">
        <v>5.5799276669558064E-2</v>
      </c>
      <c r="O421">
        <v>7.8162512453871409E-3</v>
      </c>
      <c r="P421">
        <v>1.5958995425198855E-2</v>
      </c>
      <c r="Q421">
        <v>4.3718329227711669E-4</v>
      </c>
      <c r="R421">
        <v>6.7062185723260938E-4</v>
      </c>
      <c r="S421">
        <v>6.3029806475793176E-2</v>
      </c>
      <c r="T421">
        <v>1.0410851857996066</v>
      </c>
      <c r="U421">
        <v>0</v>
      </c>
      <c r="V421">
        <v>9.64637908940639E-2</v>
      </c>
      <c r="W421">
        <v>3.7415482441088437E-2</v>
      </c>
      <c r="X421">
        <v>7.0671303646929612E-3</v>
      </c>
      <c r="Y421">
        <v>1.8252116249513398E-3</v>
      </c>
    </row>
    <row r="422" spans="1:25" x14ac:dyDescent="0.25">
      <c r="A422" s="1096"/>
      <c r="B422" s="1455">
        <v>172</v>
      </c>
      <c r="C422" s="1100">
        <v>1.0397875073817513</v>
      </c>
      <c r="D422" s="1100">
        <v>1.0017207270539117</v>
      </c>
      <c r="E422" s="1100">
        <v>1.017903619195188</v>
      </c>
      <c r="F422" s="1100">
        <v>1.010829067769339</v>
      </c>
      <c r="G422" s="1100">
        <v>0.96896326509989428</v>
      </c>
      <c r="H422" s="1100">
        <v>1.0487585963714015</v>
      </c>
      <c r="I422" s="1100">
        <v>0.99445556811644598</v>
      </c>
      <c r="K422">
        <v>1.3249188579709867</v>
      </c>
      <c r="L422">
        <v>0</v>
      </c>
      <c r="M422">
        <v>5.8367472358378985E-4</v>
      </c>
      <c r="N422">
        <v>5.6659972307886053E-2</v>
      </c>
      <c r="O422">
        <v>7.464032464332456E-3</v>
      </c>
      <c r="P422">
        <v>1.6553433444999956E-2</v>
      </c>
      <c r="Q422">
        <v>4.3995792220584212E-4</v>
      </c>
      <c r="R422">
        <v>5.8203247396009623E-4</v>
      </c>
      <c r="S422">
        <v>5.9316422930932568E-2</v>
      </c>
      <c r="T422">
        <v>1.0430246421592506</v>
      </c>
      <c r="U422">
        <v>0</v>
      </c>
      <c r="V422">
        <v>9.5289113762685965E-2</v>
      </c>
      <c r="W422">
        <v>3.6830529255059821E-2</v>
      </c>
      <c r="X422">
        <v>7.7582954460906272E-3</v>
      </c>
      <c r="Y422">
        <v>1.5841005271659072E-3</v>
      </c>
    </row>
    <row r="423" spans="1:25" x14ac:dyDescent="0.25">
      <c r="A423" s="1096"/>
      <c r="B423" s="1455">
        <v>173</v>
      </c>
      <c r="C423" s="1100">
        <v>1.0145939904528933</v>
      </c>
      <c r="D423" s="1100">
        <v>1.0355535439206054</v>
      </c>
      <c r="E423" s="1100">
        <v>0.98147812551209723</v>
      </c>
      <c r="F423" s="1100">
        <v>0.97780225303121782</v>
      </c>
      <c r="G423" s="1100">
        <v>1.0009656326029555</v>
      </c>
      <c r="H423" s="1100">
        <v>0.98926109364262249</v>
      </c>
      <c r="I423" s="1100">
        <v>0.99481123949600081</v>
      </c>
      <c r="K423">
        <v>1.2845749774923871</v>
      </c>
      <c r="L423">
        <v>0</v>
      </c>
      <c r="M423">
        <v>6.0048278550558229E-4</v>
      </c>
      <c r="N423">
        <v>5.2208044486165922E-2</v>
      </c>
      <c r="O423">
        <v>7.539719770992684E-3</v>
      </c>
      <c r="P423">
        <v>1.5675299692006001E-2</v>
      </c>
      <c r="Q423">
        <v>4.2843839379657581E-4</v>
      </c>
      <c r="R423">
        <v>5.9869162934617505E-4</v>
      </c>
      <c r="S423">
        <v>5.7953627988335019E-2</v>
      </c>
      <c r="T423">
        <v>1.0100063880882226</v>
      </c>
      <c r="U423">
        <v>0</v>
      </c>
      <c r="V423">
        <v>9.7389041780216873E-2</v>
      </c>
      <c r="W423">
        <v>3.4679586413630163E-2</v>
      </c>
      <c r="X423">
        <v>7.0671807787415055E-3</v>
      </c>
      <c r="Y423">
        <v>1.6294412564377158E-3</v>
      </c>
    </row>
    <row r="424" spans="1:25" x14ac:dyDescent="0.25">
      <c r="A424" s="1096"/>
      <c r="B424" s="1455">
        <v>174</v>
      </c>
      <c r="C424" s="1100">
        <v>1.0269512769306797</v>
      </c>
      <c r="D424" s="1100">
        <v>0.96137102920192552</v>
      </c>
      <c r="E424" s="1100">
        <v>1.0119784328686154</v>
      </c>
      <c r="F424" s="1100">
        <v>0.99691695120161472</v>
      </c>
      <c r="G424" s="1100">
        <v>1.0238840848537261</v>
      </c>
      <c r="H424" s="1100">
        <v>0.98793692308952585</v>
      </c>
      <c r="I424" s="1100">
        <v>1.0195655042096126</v>
      </c>
      <c r="K424">
        <v>1.3120793838657563</v>
      </c>
      <c r="L424">
        <v>0</v>
      </c>
      <c r="M424">
        <v>5.7294323732430541E-4</v>
      </c>
      <c r="N424">
        <v>5.4623022050872654E-2</v>
      </c>
      <c r="O424">
        <v>7.6811986716704434E-3</v>
      </c>
      <c r="P424">
        <v>1.6350838681360249E-2</v>
      </c>
      <c r="Q424">
        <v>4.5009197943360037E-4</v>
      </c>
      <c r="R424">
        <v>5.712319371327328E-4</v>
      </c>
      <c r="S424">
        <v>6.1060589864200515E-2</v>
      </c>
      <c r="T424">
        <v>1.0288426116501699</v>
      </c>
      <c r="U424">
        <v>0</v>
      </c>
      <c r="V424">
        <v>9.8237696970592064E-2</v>
      </c>
      <c r="W424">
        <v>3.5630247082727946E-2</v>
      </c>
      <c r="X424">
        <v>7.6500931886029052E-3</v>
      </c>
      <c r="Y424">
        <v>1.5547050263178316E-3</v>
      </c>
    </row>
    <row r="425" spans="1:25" x14ac:dyDescent="0.25">
      <c r="A425" s="1096"/>
      <c r="B425" s="1455">
        <v>175</v>
      </c>
      <c r="C425" s="1100">
        <v>1.0211127537914124</v>
      </c>
      <c r="D425" s="1100">
        <v>1.0095660184445681</v>
      </c>
      <c r="E425" s="1100">
        <v>1.0183726337812495</v>
      </c>
      <c r="F425" s="1100">
        <v>0.97563643647481535</v>
      </c>
      <c r="G425" s="1100">
        <v>0.9980936135514844</v>
      </c>
      <c r="H425" s="1100">
        <v>0.99581180153285775</v>
      </c>
      <c r="I425" s="1100">
        <v>0.98665956326510362</v>
      </c>
      <c r="K425">
        <v>1.2852936061844573</v>
      </c>
      <c r="L425">
        <v>0</v>
      </c>
      <c r="M425">
        <v>5.6203660091531298E-4</v>
      </c>
      <c r="N425">
        <v>5.4628526402945569E-2</v>
      </c>
      <c r="O425">
        <v>7.5769713437959527E-3</v>
      </c>
      <c r="P425">
        <v>1.6065914463924649E-2</v>
      </c>
      <c r="Q425">
        <v>4.4682346565304748E-4</v>
      </c>
      <c r="R425">
        <v>5.6037115264403602E-4</v>
      </c>
      <c r="S425">
        <v>5.8122838937204789E-2</v>
      </c>
      <c r="T425">
        <v>1.0066977287746088</v>
      </c>
      <c r="U425">
        <v>0</v>
      </c>
      <c r="V425">
        <v>9.7135068171265881E-2</v>
      </c>
      <c r="W425">
        <v>3.5500277108196018E-2</v>
      </c>
      <c r="X425">
        <v>7.5959774139373968E-3</v>
      </c>
      <c r="Y425">
        <v>1.5251455511962433E-3</v>
      </c>
    </row>
    <row r="426" spans="1:25" x14ac:dyDescent="0.25">
      <c r="A426" s="1096"/>
      <c r="B426" s="1455">
        <v>176</v>
      </c>
      <c r="C426" s="1100">
        <v>1.0083460395952473</v>
      </c>
      <c r="D426" s="1100">
        <v>1.0269698156321982</v>
      </c>
      <c r="E426" s="1100">
        <v>0.99732390744044719</v>
      </c>
      <c r="F426" s="1100">
        <v>1.0411971431043388</v>
      </c>
      <c r="G426" s="1100">
        <v>0.97682780514884981</v>
      </c>
      <c r="H426" s="1100">
        <v>1.0303149365131385</v>
      </c>
      <c r="I426" s="1100">
        <v>1.0078635116980301</v>
      </c>
      <c r="K426">
        <v>1.3585109539990219</v>
      </c>
      <c r="L426">
        <v>0</v>
      </c>
      <c r="M426">
        <v>6.1099423245897222E-4</v>
      </c>
      <c r="N426">
        <v>5.5735660396782703E-2</v>
      </c>
      <c r="O426">
        <v>7.615548514952465E-3</v>
      </c>
      <c r="P426">
        <v>1.6770485855351465E-2</v>
      </c>
      <c r="Q426">
        <v>4.397365186614084E-4</v>
      </c>
      <c r="R426">
        <v>6.0924434171808536E-4</v>
      </c>
      <c r="S426">
        <v>6.0596866441791492E-2</v>
      </c>
      <c r="T426">
        <v>1.0749929009864199</v>
      </c>
      <c r="U426">
        <v>0</v>
      </c>
      <c r="V426">
        <v>9.6390214691778234E-2</v>
      </c>
      <c r="W426">
        <v>3.6672884291207901E-2</v>
      </c>
      <c r="X426">
        <v>7.640243932002598E-3</v>
      </c>
      <c r="Y426">
        <v>1.6581622608133574E-3</v>
      </c>
    </row>
    <row r="427" spans="1:25" x14ac:dyDescent="0.25">
      <c r="A427" s="1096"/>
      <c r="B427" s="1455">
        <v>177</v>
      </c>
      <c r="C427" s="1100">
        <v>0.98687244213893</v>
      </c>
      <c r="D427" s="1100">
        <v>0.99475878857308664</v>
      </c>
      <c r="E427" s="1100">
        <v>0.99513260544358517</v>
      </c>
      <c r="F427" s="1100">
        <v>0.97460991324613999</v>
      </c>
      <c r="G427" s="1100">
        <v>1.0028408141964962</v>
      </c>
      <c r="H427" s="1100">
        <v>0.98786547746471864</v>
      </c>
      <c r="I427" s="1100">
        <v>0.9965258333565592</v>
      </c>
      <c r="K427">
        <v>1.2901475535477391</v>
      </c>
      <c r="L427">
        <v>0</v>
      </c>
      <c r="M427">
        <v>6.0900709734497535E-4</v>
      </c>
      <c r="N427">
        <v>5.5180901543971712E-2</v>
      </c>
      <c r="O427">
        <v>7.8805338589443708E-3</v>
      </c>
      <c r="P427">
        <v>1.5838845683612029E-2</v>
      </c>
      <c r="Q427">
        <v>4.5403400914059971E-4</v>
      </c>
      <c r="R427">
        <v>6.0718794796106872E-4</v>
      </c>
      <c r="S427">
        <v>6.0955828997805092E-2</v>
      </c>
      <c r="T427">
        <v>1.0063081540780514</v>
      </c>
      <c r="U427">
        <v>0</v>
      </c>
      <c r="V427">
        <v>9.8180935856106932E-2</v>
      </c>
      <c r="W427">
        <v>3.6355323779317029E-2</v>
      </c>
      <c r="X427">
        <v>7.3422494552758642E-3</v>
      </c>
      <c r="Y427">
        <v>1.6525654348967774E-3</v>
      </c>
    </row>
    <row r="428" spans="1:25" x14ac:dyDescent="0.25">
      <c r="A428" s="1096"/>
      <c r="B428" s="1455">
        <v>178</v>
      </c>
      <c r="C428" s="1100">
        <v>1.0133629578350574</v>
      </c>
      <c r="D428" s="1100">
        <v>0.98952057263401683</v>
      </c>
      <c r="E428" s="1100">
        <v>0.96650426283443269</v>
      </c>
      <c r="F428" s="1100">
        <v>1.0365894960914603</v>
      </c>
      <c r="G428" s="1100">
        <v>0.99993278980769462</v>
      </c>
      <c r="H428" s="1100">
        <v>1.0389247959433476</v>
      </c>
      <c r="I428" s="1100">
        <v>1.0253996759633865</v>
      </c>
      <c r="K428">
        <v>1.3569002417442502</v>
      </c>
      <c r="L428">
        <v>0</v>
      </c>
      <c r="M428">
        <v>6.6318403790658611E-4</v>
      </c>
      <c r="N428">
        <v>5.5112265821735722E-2</v>
      </c>
      <c r="O428">
        <v>7.6838095863250213E-3</v>
      </c>
      <c r="P428">
        <v>1.637492148875886E-2</v>
      </c>
      <c r="Q428">
        <v>4.3000933819299864E-4</v>
      </c>
      <c r="R428">
        <v>6.6130041583209052E-4</v>
      </c>
      <c r="S428">
        <v>6.2811165981325981E-2</v>
      </c>
      <c r="T428">
        <v>1.0712038834515833</v>
      </c>
      <c r="U428">
        <v>0</v>
      </c>
      <c r="V428">
        <v>9.7352294836186626E-2</v>
      </c>
      <c r="W428">
        <v>3.6942836625724992E-2</v>
      </c>
      <c r="X428">
        <v>7.1910965022198518E-3</v>
      </c>
      <c r="Y428">
        <v>1.7998417342714593E-3</v>
      </c>
    </row>
    <row r="429" spans="1:25" x14ac:dyDescent="0.25">
      <c r="A429" s="1096"/>
      <c r="B429" s="1455">
        <v>179</v>
      </c>
      <c r="C429" s="1100">
        <v>1.018939205389324</v>
      </c>
      <c r="D429" s="1100">
        <v>0.96036447108527956</v>
      </c>
      <c r="E429" s="1100">
        <v>1.0167416208108124</v>
      </c>
      <c r="F429" s="1100">
        <v>0.96309791759093544</v>
      </c>
      <c r="G429" s="1100">
        <v>0.97187211053606859</v>
      </c>
      <c r="H429" s="1100">
        <v>1.0352700620456456</v>
      </c>
      <c r="I429" s="1100">
        <v>0.95646259662200694</v>
      </c>
      <c r="K429">
        <v>1.277835179509079</v>
      </c>
      <c r="L429">
        <v>0</v>
      </c>
      <c r="M429">
        <v>5.9940331616304104E-4</v>
      </c>
      <c r="N429">
        <v>5.7981030466695539E-2</v>
      </c>
      <c r="O429">
        <v>7.7460104559031349E-3</v>
      </c>
      <c r="P429">
        <v>1.5865985152250819E-2</v>
      </c>
      <c r="Q429">
        <v>4.5605084746759095E-4</v>
      </c>
      <c r="R429">
        <v>5.9769483850277553E-4</v>
      </c>
      <c r="S429">
        <v>5.914805919088556E-2</v>
      </c>
      <c r="T429">
        <v>0.99380595778995995</v>
      </c>
      <c r="U429">
        <v>0</v>
      </c>
      <c r="V429">
        <v>9.5916380324713876E-2</v>
      </c>
      <c r="W429">
        <v>3.771493820572764E-2</v>
      </c>
      <c r="X429">
        <v>7.5757472327816723E-3</v>
      </c>
      <c r="Y429">
        <v>1.6267283203539949E-3</v>
      </c>
    </row>
    <row r="430" spans="1:25" x14ac:dyDescent="0.25">
      <c r="A430" s="1096"/>
      <c r="B430" s="1455">
        <v>180</v>
      </c>
      <c r="C430" s="1100">
        <v>1.012411113505318</v>
      </c>
      <c r="D430" s="1100">
        <v>1.0280998681078974</v>
      </c>
      <c r="E430" s="1100">
        <v>0.98422360131238973</v>
      </c>
      <c r="F430" s="1100">
        <v>1.0267042970608697</v>
      </c>
      <c r="G430" s="1100">
        <v>0.99170496603119462</v>
      </c>
      <c r="H430" s="1100">
        <v>0.99624601035569682</v>
      </c>
      <c r="I430" s="1100">
        <v>0.99021919382928103</v>
      </c>
      <c r="K430">
        <v>1.3371786404218851</v>
      </c>
      <c r="L430">
        <v>0</v>
      </c>
      <c r="M430">
        <v>6.0433796524462949E-4</v>
      </c>
      <c r="N430">
        <v>5.2982534164505463E-2</v>
      </c>
      <c r="O430">
        <v>7.5784975421241329E-3</v>
      </c>
      <c r="P430">
        <v>1.6386230640243638E-2</v>
      </c>
      <c r="Q430">
        <v>4.3184338235726456E-4</v>
      </c>
      <c r="R430">
        <v>6.0254794846875855E-4</v>
      </c>
      <c r="S430">
        <v>5.8243658593567081E-2</v>
      </c>
      <c r="T430">
        <v>1.0604336862449122</v>
      </c>
      <c r="U430">
        <v>0</v>
      </c>
      <c r="V430">
        <v>9.6996766170554541E-2</v>
      </c>
      <c r="W430">
        <v>3.5135882694392079E-2</v>
      </c>
      <c r="X430">
        <v>7.3513941201482124E-3</v>
      </c>
      <c r="Y430">
        <v>1.6399368858541312E-3</v>
      </c>
    </row>
    <row r="431" spans="1:25" x14ac:dyDescent="0.25">
      <c r="A431" s="1096"/>
      <c r="B431" s="1455">
        <v>181</v>
      </c>
      <c r="C431" s="1100">
        <v>1.0369883731610037</v>
      </c>
      <c r="D431" s="1100">
        <v>0.99673662919670314</v>
      </c>
      <c r="E431" s="1100">
        <v>0.97955983400923352</v>
      </c>
      <c r="F431" s="1100">
        <v>0.99702397037480761</v>
      </c>
      <c r="G431" s="1100">
        <v>1.0244597839337726</v>
      </c>
      <c r="H431" s="1100">
        <v>0.99493464474577298</v>
      </c>
      <c r="I431" s="1100">
        <v>1.0119079526213748</v>
      </c>
      <c r="K431">
        <v>1.306272666510174</v>
      </c>
      <c r="L431">
        <v>0</v>
      </c>
      <c r="M431">
        <v>6.0236851365687977E-4</v>
      </c>
      <c r="N431">
        <v>5.2069804288576028E-2</v>
      </c>
      <c r="O431">
        <v>7.4900407168397073E-3</v>
      </c>
      <c r="P431">
        <v>1.5942660666433819E-2</v>
      </c>
      <c r="Q431">
        <v>4.2478662721262588E-4</v>
      </c>
      <c r="R431">
        <v>6.0058197866288369E-4</v>
      </c>
      <c r="S431">
        <v>5.9038624371345112E-2</v>
      </c>
      <c r="T431">
        <v>1.0299192185217267</v>
      </c>
      <c r="U431">
        <v>0</v>
      </c>
      <c r="V431">
        <v>9.7996020736571279E-2</v>
      </c>
      <c r="W431">
        <v>3.4627829363974155E-2</v>
      </c>
      <c r="X431">
        <v>7.1308815883638068E-3</v>
      </c>
      <c r="Y431">
        <v>1.6345861641243117E-3</v>
      </c>
    </row>
    <row r="432" spans="1:25" x14ac:dyDescent="0.25">
      <c r="A432" s="1096"/>
      <c r="B432" s="1455">
        <v>182</v>
      </c>
      <c r="C432" s="1100">
        <v>1.03232555536318</v>
      </c>
      <c r="D432" s="1100">
        <v>1.0109795567546915</v>
      </c>
      <c r="E432" s="1100">
        <v>1.0242426747912621</v>
      </c>
      <c r="F432" s="1100">
        <v>0.99126386949187006</v>
      </c>
      <c r="G432" s="1100">
        <v>1.0094547788455011</v>
      </c>
      <c r="H432" s="1100">
        <v>1.0179924683641501</v>
      </c>
      <c r="I432" s="1100">
        <v>0.96199003956419926</v>
      </c>
      <c r="K432">
        <v>1.3017362625159516</v>
      </c>
      <c r="L432">
        <v>0</v>
      </c>
      <c r="M432">
        <v>5.6110033025758043E-4</v>
      </c>
      <c r="N432">
        <v>5.5515411485767711E-2</v>
      </c>
      <c r="O432">
        <v>7.4918735376525323E-3</v>
      </c>
      <c r="P432">
        <v>1.6340189718126993E-2</v>
      </c>
      <c r="Q432">
        <v>4.4438904250530939E-4</v>
      </c>
      <c r="R432">
        <v>5.5947388377427707E-4</v>
      </c>
      <c r="S432">
        <v>5.6645971404254571E-2</v>
      </c>
      <c r="T432">
        <v>1.0226531781031387</v>
      </c>
      <c r="U432">
        <v>0</v>
      </c>
      <c r="V432">
        <v>9.7427607025540874E-2</v>
      </c>
      <c r="W432">
        <v>3.5953060062337505E-2</v>
      </c>
      <c r="X432">
        <v>7.7435051019931157E-3</v>
      </c>
      <c r="Y432">
        <v>1.5227034811173628E-3</v>
      </c>
    </row>
    <row r="433" spans="1:25" x14ac:dyDescent="0.25">
      <c r="A433" s="1096"/>
      <c r="B433" s="1455">
        <v>183</v>
      </c>
      <c r="C433" s="1100">
        <v>1.0354681152410969</v>
      </c>
      <c r="D433" s="1100">
        <v>1.005335095383372</v>
      </c>
      <c r="E433" s="1100">
        <v>1.0006695614893995</v>
      </c>
      <c r="F433" s="1100">
        <v>0.9949264388591802</v>
      </c>
      <c r="G433" s="1100">
        <v>0.99193915689210677</v>
      </c>
      <c r="H433" s="1100">
        <v>1.0284652143796773</v>
      </c>
      <c r="I433" s="1100">
        <v>0.96981868608933053</v>
      </c>
      <c r="K433">
        <v>1.3048528744422876</v>
      </c>
      <c r="L433">
        <v>0</v>
      </c>
      <c r="M433">
        <v>5.9486008282924629E-4</v>
      </c>
      <c r="N433">
        <v>5.481491830062904E-2</v>
      </c>
      <c r="O433">
        <v>7.4802951790169043E-3</v>
      </c>
      <c r="P433">
        <v>1.6116532161836263E-2</v>
      </c>
      <c r="Q433">
        <v>4.3338254602915581E-4</v>
      </c>
      <c r="R433">
        <v>5.9315333626060987E-4</v>
      </c>
      <c r="S433">
        <v>5.7381532355595469E-2</v>
      </c>
      <c r="T433">
        <v>1.0271211384149608</v>
      </c>
      <c r="U433">
        <v>0</v>
      </c>
      <c r="V433">
        <v>9.6481180117369669E-2</v>
      </c>
      <c r="W433">
        <v>3.5995351615566218E-2</v>
      </c>
      <c r="X433">
        <v>7.4158826494966868E-3</v>
      </c>
      <c r="Y433">
        <v>1.6143678483566324E-3</v>
      </c>
    </row>
    <row r="434" spans="1:25" x14ac:dyDescent="0.25">
      <c r="A434" s="1096"/>
      <c r="B434" s="1455">
        <v>184</v>
      </c>
      <c r="C434" s="1100">
        <v>1.0265491012849051</v>
      </c>
      <c r="D434" s="1100">
        <v>0.9920014999466773</v>
      </c>
      <c r="E434" s="1100">
        <v>1.0264471339127821</v>
      </c>
      <c r="F434" s="1100">
        <v>0.97894443933649378</v>
      </c>
      <c r="G434" s="1100">
        <v>0.97096208381525395</v>
      </c>
      <c r="H434" s="1100">
        <v>0.98761187765615188</v>
      </c>
      <c r="I434" s="1100">
        <v>1.0104388031370444</v>
      </c>
      <c r="K434">
        <v>1.2886273965516919</v>
      </c>
      <c r="L434">
        <v>0</v>
      </c>
      <c r="M434">
        <v>5.4905726078235224E-4</v>
      </c>
      <c r="N434">
        <v>5.4681312282438811E-2</v>
      </c>
      <c r="O434">
        <v>7.5918877282721174E-3</v>
      </c>
      <c r="P434">
        <v>1.6204977472628564E-2</v>
      </c>
      <c r="Q434">
        <v>4.5130657941957851E-4</v>
      </c>
      <c r="R434">
        <v>5.4741676486834369E-4</v>
      </c>
      <c r="S434">
        <v>5.9529138113848343E-2</v>
      </c>
      <c r="T434">
        <v>1.0098810306384902</v>
      </c>
      <c r="U434">
        <v>0</v>
      </c>
      <c r="V434">
        <v>9.5702730059303145E-2</v>
      </c>
      <c r="W434">
        <v>3.5367425921962153E-2</v>
      </c>
      <c r="X434">
        <v>7.7293402731600626E-3</v>
      </c>
      <c r="Y434">
        <v>1.4898879780835912E-3</v>
      </c>
    </row>
    <row r="435" spans="1:25" x14ac:dyDescent="0.25">
      <c r="A435" s="1096"/>
      <c r="B435" s="1455">
        <v>185</v>
      </c>
      <c r="C435" s="1100">
        <v>1.031017600299488</v>
      </c>
      <c r="D435" s="1100">
        <v>1.0161269145456922</v>
      </c>
      <c r="E435" s="1100">
        <v>0.98465120169417619</v>
      </c>
      <c r="F435" s="1100">
        <v>1.0026929299102347</v>
      </c>
      <c r="G435" s="1100">
        <v>1.0364566279519787</v>
      </c>
      <c r="H435" s="1100">
        <v>0.9859844623276256</v>
      </c>
      <c r="I435" s="1100">
        <v>1.009417867375155</v>
      </c>
      <c r="K435">
        <v>1.3115762968097724</v>
      </c>
      <c r="L435">
        <v>0</v>
      </c>
      <c r="M435">
        <v>5.895557097864595E-4</v>
      </c>
      <c r="N435">
        <v>5.1751860364847913E-2</v>
      </c>
      <c r="O435">
        <v>7.4767823690567829E-3</v>
      </c>
      <c r="P435">
        <v>1.6081865329424766E-2</v>
      </c>
      <c r="Q435">
        <v>4.2623212445685326E-4</v>
      </c>
      <c r="R435">
        <v>5.8779130349775346E-4</v>
      </c>
      <c r="S435">
        <v>5.83642654199754E-2</v>
      </c>
      <c r="T435">
        <v>1.0356205342188389</v>
      </c>
      <c r="U435">
        <v>0</v>
      </c>
      <c r="V435">
        <v>9.8720306495541976E-2</v>
      </c>
      <c r="W435">
        <v>3.4310920441388573E-2</v>
      </c>
      <c r="X435">
        <v>7.2255202897585427E-3</v>
      </c>
      <c r="Y435">
        <v>1.5997741627697627E-3</v>
      </c>
    </row>
    <row r="436" spans="1:25" x14ac:dyDescent="0.25">
      <c r="A436" s="1096"/>
      <c r="B436" s="1455">
        <v>186</v>
      </c>
      <c r="C436" s="1100">
        <v>1.0309814601013083</v>
      </c>
      <c r="D436" s="1100">
        <v>1.0102000639641084</v>
      </c>
      <c r="E436" s="1100">
        <v>1.0100373851945956</v>
      </c>
      <c r="F436" s="1100">
        <v>0.99523585063804898</v>
      </c>
      <c r="G436" s="1100">
        <v>0.99930409116538066</v>
      </c>
      <c r="H436" s="1100">
        <v>0.96185856753297205</v>
      </c>
      <c r="I436" s="1100">
        <v>0.99948108953845338</v>
      </c>
      <c r="K436">
        <v>1.3002748759564167</v>
      </c>
      <c r="L436">
        <v>0</v>
      </c>
      <c r="M436">
        <v>5.4693739244070553E-4</v>
      </c>
      <c r="N436">
        <v>5.1834830188671528E-2</v>
      </c>
      <c r="O436">
        <v>7.5005781694979156E-3</v>
      </c>
      <c r="P436">
        <v>1.6234777281736848E-2</v>
      </c>
      <c r="Q436">
        <v>4.3865673736693595E-4</v>
      </c>
      <c r="R436">
        <v>5.4525947643657095E-4</v>
      </c>
      <c r="S436">
        <v>5.7285882999024429E-2</v>
      </c>
      <c r="T436">
        <v>1.0271645424669049</v>
      </c>
      <c r="U436">
        <v>0</v>
      </c>
      <c r="V436">
        <v>9.6951993170620379E-2</v>
      </c>
      <c r="W436">
        <v>3.385021913287934E-2</v>
      </c>
      <c r="X436">
        <v>7.5310571755963021E-3</v>
      </c>
      <c r="Y436">
        <v>1.4840165501222463E-3</v>
      </c>
    </row>
    <row r="437" spans="1:25" x14ac:dyDescent="0.25">
      <c r="A437" s="1096"/>
      <c r="B437" s="1455">
        <v>187</v>
      </c>
      <c r="C437" s="1100">
        <v>1.0073613185024819</v>
      </c>
      <c r="D437" s="1100">
        <v>1.0020163113957428</v>
      </c>
      <c r="E437" s="1100">
        <v>1.005532125176539</v>
      </c>
      <c r="F437" s="1100">
        <v>0.95717244465331597</v>
      </c>
      <c r="G437" s="1100">
        <v>0.99378088819248833</v>
      </c>
      <c r="H437" s="1100">
        <v>1.0154769367092527</v>
      </c>
      <c r="I437" s="1100">
        <v>0.99028918243755959</v>
      </c>
      <c r="K437">
        <v>1.270626767663452</v>
      </c>
      <c r="L437">
        <v>0</v>
      </c>
      <c r="M437">
        <v>5.9846474801856933E-4</v>
      </c>
      <c r="N437">
        <v>5.5960970474161757E-2</v>
      </c>
      <c r="O437">
        <v>7.7003670794948053E-3</v>
      </c>
      <c r="P437">
        <v>1.5684903213087228E-2</v>
      </c>
      <c r="Q437">
        <v>4.4831492150165103E-4</v>
      </c>
      <c r="R437">
        <v>5.9672569698073624E-4</v>
      </c>
      <c r="S437">
        <v>5.994917057277839E-2</v>
      </c>
      <c r="T437">
        <v>0.98800736125740796</v>
      </c>
      <c r="U437">
        <v>0</v>
      </c>
      <c r="V437">
        <v>9.7243486000765725E-2</v>
      </c>
      <c r="W437">
        <v>3.6642139554273971E-2</v>
      </c>
      <c r="X437">
        <v>7.367703004408443E-3</v>
      </c>
      <c r="Y437">
        <v>1.6240906366084215E-3</v>
      </c>
    </row>
    <row r="438" spans="1:25" x14ac:dyDescent="0.25">
      <c r="A438" s="1096"/>
      <c r="B438" s="1455">
        <v>188</v>
      </c>
      <c r="C438" s="1100">
        <v>0.98054883519859282</v>
      </c>
      <c r="D438" s="1100">
        <v>1.0090738637608434</v>
      </c>
      <c r="E438" s="1100">
        <v>0.96587266674419803</v>
      </c>
      <c r="F438" s="1100">
        <v>1.0053431803265984</v>
      </c>
      <c r="G438" s="1100">
        <v>1.0239614437490954</v>
      </c>
      <c r="H438" s="1100">
        <v>0.97737478878804473</v>
      </c>
      <c r="I438" s="1100">
        <v>1.0349139539710912</v>
      </c>
      <c r="K438">
        <v>1.3229680489348381</v>
      </c>
      <c r="L438">
        <v>0</v>
      </c>
      <c r="M438">
        <v>6.4058027185427354E-4</v>
      </c>
      <c r="N438">
        <v>5.3122569575105603E-2</v>
      </c>
      <c r="O438">
        <v>7.8788803107932119E-3</v>
      </c>
      <c r="P438">
        <v>1.5965029460594245E-2</v>
      </c>
      <c r="Q438">
        <v>4.4064093960058159E-4</v>
      </c>
      <c r="R438">
        <v>6.3864627285288686E-4</v>
      </c>
      <c r="S438">
        <v>6.2858702757861387E-2</v>
      </c>
      <c r="T438">
        <v>1.0389337156413321</v>
      </c>
      <c r="U438">
        <v>0</v>
      </c>
      <c r="V438">
        <v>9.9331751545873731E-2</v>
      </c>
      <c r="W438">
        <v>3.562283673699207E-2</v>
      </c>
      <c r="X438">
        <v>7.0776713406656812E-3</v>
      </c>
      <c r="Y438">
        <v>1.7381846250182935E-3</v>
      </c>
    </row>
    <row r="439" spans="1:25" x14ac:dyDescent="0.25">
      <c r="A439" s="1096"/>
      <c r="B439" s="1455">
        <v>189</v>
      </c>
      <c r="C439" s="1100">
        <v>1.0015807676722237</v>
      </c>
      <c r="D439" s="1100">
        <v>0.99851651778202177</v>
      </c>
      <c r="E439" s="1100">
        <v>1.0254858472594943</v>
      </c>
      <c r="F439" s="1100">
        <v>0.99939307879002115</v>
      </c>
      <c r="G439" s="1100">
        <v>0.99481306838232231</v>
      </c>
      <c r="H439" s="1100">
        <v>0.97920491842829449</v>
      </c>
      <c r="I439" s="1100">
        <v>0.9956398443565122</v>
      </c>
      <c r="K439">
        <v>1.3134315533788596</v>
      </c>
      <c r="L439">
        <v>0</v>
      </c>
      <c r="M439">
        <v>5.5761046808248721E-4</v>
      </c>
      <c r="N439">
        <v>5.5370970185729333E-2</v>
      </c>
      <c r="O439">
        <v>7.7605609380766334E-3</v>
      </c>
      <c r="P439">
        <v>1.6513296313671082E-2</v>
      </c>
      <c r="Q439">
        <v>4.6089428654239181E-4</v>
      </c>
      <c r="R439">
        <v>5.5593011266550816E-4</v>
      </c>
      <c r="S439">
        <v>5.9652063074083918E-2</v>
      </c>
      <c r="T439">
        <v>1.0310037428175511</v>
      </c>
      <c r="U439">
        <v>0</v>
      </c>
      <c r="V439">
        <v>9.7457779269048764E-2</v>
      </c>
      <c r="W439">
        <v>3.5833544058368486E-2</v>
      </c>
      <c r="X439">
        <v>7.8673242868405845E-3</v>
      </c>
      <c r="Y439">
        <v>1.513058504363126E-3</v>
      </c>
    </row>
    <row r="440" spans="1:25" x14ac:dyDescent="0.25">
      <c r="A440" s="1096"/>
      <c r="B440" s="1455">
        <v>190</v>
      </c>
      <c r="C440" s="1100">
        <v>1.0181339506593163</v>
      </c>
      <c r="D440" s="1100">
        <v>1.0059103692519742</v>
      </c>
      <c r="E440" s="1100">
        <v>0.99574843155736337</v>
      </c>
      <c r="F440" s="1100">
        <v>0.98457399892701558</v>
      </c>
      <c r="G440" s="1100">
        <v>1.0266273408014175</v>
      </c>
      <c r="H440" s="1100">
        <v>1.0076700829623668</v>
      </c>
      <c r="I440" s="1100">
        <v>0.98214147833366727</v>
      </c>
      <c r="K440">
        <v>1.2967067048661498</v>
      </c>
      <c r="L440">
        <v>0</v>
      </c>
      <c r="M440">
        <v>5.9869831083525515E-4</v>
      </c>
      <c r="N440">
        <v>5.4351099861729611E-2</v>
      </c>
      <c r="O440">
        <v>7.6047264153301384E-3</v>
      </c>
      <c r="P440">
        <v>1.5957086450899813E-2</v>
      </c>
      <c r="Q440">
        <v>4.3841545423221222E-4</v>
      </c>
      <c r="R440">
        <v>5.9694510266312961E-4</v>
      </c>
      <c r="S440">
        <v>5.8466198570261259E-2</v>
      </c>
      <c r="T440">
        <v>1.0165781821764563</v>
      </c>
      <c r="U440">
        <v>0</v>
      </c>
      <c r="V440">
        <v>9.8561290109221128E-2</v>
      </c>
      <c r="W440">
        <v>3.5795466861382665E-2</v>
      </c>
      <c r="X440">
        <v>7.3313043882590823E-3</v>
      </c>
      <c r="Y440">
        <v>1.6246877865488325E-3</v>
      </c>
    </row>
    <row r="441" spans="1:25" x14ac:dyDescent="0.25">
      <c r="A441" s="1096"/>
      <c r="B441" s="1455">
        <v>191</v>
      </c>
      <c r="C441" s="1100">
        <v>1.0094173369436705</v>
      </c>
      <c r="D441" s="1100">
        <v>1.0156022463902794</v>
      </c>
      <c r="E441" s="1100">
        <v>0.96573583756273884</v>
      </c>
      <c r="F441" s="1100">
        <v>0.99037992162867361</v>
      </c>
      <c r="G441" s="1100">
        <v>0.96886745281216358</v>
      </c>
      <c r="H441" s="1100">
        <v>1.0213571130540198</v>
      </c>
      <c r="I441" s="1100">
        <v>1.0091779501406732</v>
      </c>
      <c r="K441">
        <v>1.3023827091297864</v>
      </c>
      <c r="L441">
        <v>0</v>
      </c>
      <c r="M441">
        <v>6.487701067801352E-4</v>
      </c>
      <c r="N441">
        <v>5.3786463601370384E-2</v>
      </c>
      <c r="O441">
        <v>7.6338007941896425E-3</v>
      </c>
      <c r="P441">
        <v>1.5683766065670058E-2</v>
      </c>
      <c r="Q441">
        <v>4.2687457224180558E-4</v>
      </c>
      <c r="R441">
        <v>6.4689572941404509E-4</v>
      </c>
      <c r="S441">
        <v>6.0670026685510449E-2</v>
      </c>
      <c r="T441">
        <v>1.0234746767081817</v>
      </c>
      <c r="U441">
        <v>0</v>
      </c>
      <c r="V441">
        <v>9.5944485850280578E-2</v>
      </c>
      <c r="W441">
        <v>3.6071043451291772E-2</v>
      </c>
      <c r="X441">
        <v>6.9328088520728215E-3</v>
      </c>
      <c r="Y441">
        <v>1.7606369263451415E-3</v>
      </c>
    </row>
    <row r="442" spans="1:25" x14ac:dyDescent="0.25">
      <c r="A442" s="1096"/>
      <c r="B442" s="1455">
        <v>192</v>
      </c>
      <c r="C442" s="1100">
        <v>0.97641480810194048</v>
      </c>
      <c r="D442" s="1100">
        <v>1.0231004052303883</v>
      </c>
      <c r="E442" s="1100">
        <v>1.0090325072901427</v>
      </c>
      <c r="F442" s="1100">
        <v>1.0074983668495057</v>
      </c>
      <c r="G442" s="1100">
        <v>0.97873154357173464</v>
      </c>
      <c r="H442" s="1100">
        <v>0.97044529310351213</v>
      </c>
      <c r="I442" s="1100">
        <v>1.0057390560992048</v>
      </c>
      <c r="K442">
        <v>1.3226824269369915</v>
      </c>
      <c r="L442">
        <v>0</v>
      </c>
      <c r="M442">
        <v>5.8091981969625927E-4</v>
      </c>
      <c r="N442">
        <v>5.4890161495432424E-2</v>
      </c>
      <c r="O442">
        <v>7.8793986897062688E-3</v>
      </c>
      <c r="P442">
        <v>1.6448824705897536E-2</v>
      </c>
      <c r="Q442">
        <v>4.6034854111404866E-4</v>
      </c>
      <c r="R442">
        <v>5.7915342011007076E-4</v>
      </c>
      <c r="S442">
        <v>6.0718173056550022E-2</v>
      </c>
      <c r="T442">
        <v>1.0398503063209836</v>
      </c>
      <c r="U442">
        <v>0</v>
      </c>
      <c r="V442">
        <v>9.7299145485241711E-2</v>
      </c>
      <c r="W442">
        <v>3.5866727193818282E-2</v>
      </c>
      <c r="X442">
        <v>7.6948431561686681E-3</v>
      </c>
      <c r="Y442">
        <v>1.576264691665984E-3</v>
      </c>
    </row>
    <row r="443" spans="1:25" x14ac:dyDescent="0.25">
      <c r="A443" s="1096"/>
      <c r="B443" s="1455">
        <v>193</v>
      </c>
      <c r="C443" s="1100">
        <v>0.99829057258559395</v>
      </c>
      <c r="D443" s="1100">
        <v>0.9920856171196768</v>
      </c>
      <c r="E443" s="1100">
        <v>1.0317427868865021</v>
      </c>
      <c r="F443" s="1100">
        <v>1.0341331954937549</v>
      </c>
      <c r="G443" s="1100">
        <v>1.0053021006384939</v>
      </c>
      <c r="H443" s="1100">
        <v>1.0123383832539579</v>
      </c>
      <c r="I443" s="1100">
        <v>0.98850056424963728</v>
      </c>
      <c r="K443">
        <v>1.3557342001651924</v>
      </c>
      <c r="L443">
        <v>0</v>
      </c>
      <c r="M443">
        <v>5.7236528173267324E-4</v>
      </c>
      <c r="N443">
        <v>5.7924187997122949E-2</v>
      </c>
      <c r="O443">
        <v>7.8078379486183703E-3</v>
      </c>
      <c r="P443">
        <v>1.7108459611139836E-2</v>
      </c>
      <c r="Q443">
        <v>4.6658167936172176E-4</v>
      </c>
      <c r="R443">
        <v>5.706969154764442E-4</v>
      </c>
      <c r="S443">
        <v>6.0637959992510593E-2</v>
      </c>
      <c r="T443">
        <v>1.0666555818566308</v>
      </c>
      <c r="U443">
        <v>0</v>
      </c>
      <c r="V443">
        <v>9.805395390570612E-2</v>
      </c>
      <c r="W443">
        <v>3.7349819601319924E-2</v>
      </c>
      <c r="X443">
        <v>8.1782370652993541E-3</v>
      </c>
      <c r="Y443">
        <v>1.5532488737392551E-3</v>
      </c>
    </row>
    <row r="444" spans="1:25" x14ac:dyDescent="0.25">
      <c r="A444" s="1096"/>
      <c r="B444" s="1455">
        <v>194</v>
      </c>
      <c r="C444" s="1100">
        <v>1.0108701216833302</v>
      </c>
      <c r="D444" s="1100">
        <v>0.97795787210260698</v>
      </c>
      <c r="E444" s="1100">
        <v>0.98922328750267163</v>
      </c>
      <c r="F444" s="1100">
        <v>1.0292801224172894</v>
      </c>
      <c r="G444" s="1100">
        <v>1.0019511302523345</v>
      </c>
      <c r="H444" s="1100">
        <v>1.0333769542504747</v>
      </c>
      <c r="I444" s="1100">
        <v>0.96286178368065056</v>
      </c>
      <c r="K444">
        <v>1.3474697781551772</v>
      </c>
      <c r="L444">
        <v>0</v>
      </c>
      <c r="M444">
        <v>6.3390620768987382E-4</v>
      </c>
      <c r="N444">
        <v>5.6427484080549407E-2</v>
      </c>
      <c r="O444">
        <v>7.7446050186549716E-3</v>
      </c>
      <c r="P444">
        <v>1.6504462712582234E-2</v>
      </c>
      <c r="Q444">
        <v>4.4354852235952926E-4</v>
      </c>
      <c r="R444">
        <v>6.3209607650211829E-4</v>
      </c>
      <c r="S444">
        <v>5.9357203373593528E-2</v>
      </c>
      <c r="T444">
        <v>1.0629389195782937</v>
      </c>
      <c r="U444">
        <v>0</v>
      </c>
      <c r="V444">
        <v>9.753522968486493E-2</v>
      </c>
      <c r="W444">
        <v>3.7308233656972424E-2</v>
      </c>
      <c r="X444">
        <v>7.491544508672422E-3</v>
      </c>
      <c r="Y444">
        <v>1.7203571498231476E-3</v>
      </c>
    </row>
    <row r="445" spans="1:25" x14ac:dyDescent="0.25">
      <c r="A445" s="1096"/>
      <c r="B445" s="1455">
        <v>195</v>
      </c>
      <c r="C445" s="1100">
        <v>1.0148514309843073</v>
      </c>
      <c r="D445" s="1100">
        <v>1.0206416636702265</v>
      </c>
      <c r="E445" s="1100">
        <v>1.0073713255346806</v>
      </c>
      <c r="F445" s="1100">
        <v>0.96542736214605029</v>
      </c>
      <c r="G445" s="1100">
        <v>0.99863950894806064</v>
      </c>
      <c r="H445" s="1100">
        <v>1.011191063767265</v>
      </c>
      <c r="I445" s="1100">
        <v>0.99416680443543437</v>
      </c>
      <c r="K445">
        <v>1.2766082755938559</v>
      </c>
      <c r="L445">
        <v>0</v>
      </c>
      <c r="M445">
        <v>5.8496060661915588E-4</v>
      </c>
      <c r="N445">
        <v>5.5002190480017622E-2</v>
      </c>
      <c r="O445">
        <v>7.5878740107869691E-3</v>
      </c>
      <c r="P445">
        <v>1.5810579306953648E-2</v>
      </c>
      <c r="Q445">
        <v>4.4258012664198166E-4</v>
      </c>
      <c r="R445">
        <v>5.8325359209828516E-4</v>
      </c>
      <c r="S445">
        <v>5.9028610644649523E-2</v>
      </c>
      <c r="T445">
        <v>0.99647569722809481</v>
      </c>
      <c r="U445">
        <v>0</v>
      </c>
      <c r="V445">
        <v>9.7298995844528641E-2</v>
      </c>
      <c r="W445">
        <v>3.5975202494348622E-2</v>
      </c>
      <c r="X445">
        <v>7.4008284641578128E-3</v>
      </c>
      <c r="Y445">
        <v>1.5874240081965706E-3</v>
      </c>
    </row>
    <row r="446" spans="1:25" x14ac:dyDescent="0.25">
      <c r="A446" s="1096"/>
      <c r="B446" s="1455">
        <v>196</v>
      </c>
      <c r="C446" s="1100">
        <v>1.0287682901020161</v>
      </c>
      <c r="D446" s="1100">
        <v>0.99234673635858184</v>
      </c>
      <c r="E446" s="1100">
        <v>0.98169265597460031</v>
      </c>
      <c r="F446" s="1100">
        <v>1.0329589424289054</v>
      </c>
      <c r="G446" s="1100">
        <v>1.0179697321851269</v>
      </c>
      <c r="H446" s="1100">
        <v>1.0073113150459938</v>
      </c>
      <c r="I446" s="1100">
        <v>1.0249244666664563</v>
      </c>
      <c r="K446">
        <v>1.347924198339346</v>
      </c>
      <c r="L446">
        <v>0</v>
      </c>
      <c r="M446">
        <v>6.1311085235142484E-4</v>
      </c>
      <c r="N446">
        <v>5.3343439684963294E-2</v>
      </c>
      <c r="O446">
        <v>7.5637385037150605E-3</v>
      </c>
      <c r="P446">
        <v>1.648902138508233E-2</v>
      </c>
      <c r="Q446">
        <v>4.2989688404073079E-4</v>
      </c>
      <c r="R446">
        <v>6.1131479951184199E-4</v>
      </c>
      <c r="S446">
        <v>6.0798491378441552E-2</v>
      </c>
      <c r="T446">
        <v>1.0669729574429627</v>
      </c>
      <c r="U446">
        <v>0</v>
      </c>
      <c r="V446">
        <v>9.7875338401234288E-2</v>
      </c>
      <c r="W446">
        <v>3.5429197239233649E-2</v>
      </c>
      <c r="X446">
        <v>7.3601161081101821E-3</v>
      </c>
      <c r="Y446">
        <v>1.6637973644017345E-3</v>
      </c>
    </row>
    <row r="447" spans="1:25" x14ac:dyDescent="0.25">
      <c r="A447" s="1096"/>
      <c r="B447" s="1455">
        <v>197</v>
      </c>
      <c r="C447" s="1100">
        <v>0.98443528682549319</v>
      </c>
      <c r="D447" s="1100">
        <v>0.99708926194878233</v>
      </c>
      <c r="E447" s="1100">
        <v>0.98589423986219493</v>
      </c>
      <c r="F447" s="1100">
        <v>1.0107159618025419</v>
      </c>
      <c r="G447" s="1100">
        <v>1.0247156284908536</v>
      </c>
      <c r="H447" s="1100">
        <v>0.9836518565479514</v>
      </c>
      <c r="I447" s="1100">
        <v>0.97402546673656287</v>
      </c>
      <c r="K447">
        <v>1.3269920024319091</v>
      </c>
      <c r="L447">
        <v>0</v>
      </c>
      <c r="M447">
        <v>6.1907525893697187E-4</v>
      </c>
      <c r="N447">
        <v>5.4547421516439355E-2</v>
      </c>
      <c r="O447">
        <v>7.8903497278405323E-3</v>
      </c>
      <c r="P447">
        <v>1.6231555234202943E-2</v>
      </c>
      <c r="Q447">
        <v>4.5037552650104896E-4</v>
      </c>
      <c r="R447">
        <v>6.1721811377896628E-4</v>
      </c>
      <c r="S447">
        <v>5.951567574984698E-2</v>
      </c>
      <c r="T447">
        <v>1.0438690876815615</v>
      </c>
      <c r="U447">
        <v>0</v>
      </c>
      <c r="V447">
        <v>9.9290903153723839E-2</v>
      </c>
      <c r="W447">
        <v>3.6137326248780841E-2</v>
      </c>
      <c r="X447">
        <v>7.381300498360663E-3</v>
      </c>
      <c r="Y447">
        <v>1.6798642398098218E-3</v>
      </c>
    </row>
    <row r="448" spans="1:25" x14ac:dyDescent="0.25">
      <c r="A448" s="1096"/>
      <c r="B448" s="1455">
        <v>198</v>
      </c>
      <c r="C448" s="1100">
        <v>1.0014833720737479</v>
      </c>
      <c r="D448" s="1100">
        <v>0.9880592820491938</v>
      </c>
      <c r="E448" s="1100">
        <v>1.0059185322920634</v>
      </c>
      <c r="F448" s="1100">
        <v>1.0476430895804312</v>
      </c>
      <c r="G448" s="1100">
        <v>0.96865592974097359</v>
      </c>
      <c r="H448" s="1100">
        <v>1.036070697184746</v>
      </c>
      <c r="I448" s="1100">
        <v>1.0146471689244405</v>
      </c>
      <c r="K448">
        <v>1.3708133395681372</v>
      </c>
      <c r="L448">
        <v>0</v>
      </c>
      <c r="M448">
        <v>6.1714574160821954E-4</v>
      </c>
      <c r="N448">
        <v>5.777851128043951E-2</v>
      </c>
      <c r="O448">
        <v>7.7892381571700864E-3</v>
      </c>
      <c r="P448">
        <v>1.6994175370099514E-2</v>
      </c>
      <c r="Q448">
        <v>4.5366460655156402E-4</v>
      </c>
      <c r="R448">
        <v>6.1538805208495237E-4</v>
      </c>
      <c r="S448">
        <v>6.2890631345875289E-2</v>
      </c>
      <c r="T448">
        <v>1.0813805003959576</v>
      </c>
      <c r="U448">
        <v>0</v>
      </c>
      <c r="V448">
        <v>9.6172809166164552E-2</v>
      </c>
      <c r="W448">
        <v>3.7823581050323823E-2</v>
      </c>
      <c r="X448">
        <v>7.8571024699186972E-3</v>
      </c>
      <c r="Y448">
        <v>1.6748834151583914E-3</v>
      </c>
    </row>
    <row r="449" spans="1:25" x14ac:dyDescent="0.25">
      <c r="A449" s="1096"/>
      <c r="B449" s="1455">
        <v>199</v>
      </c>
      <c r="C449" s="1100">
        <v>1.0376557998190068</v>
      </c>
      <c r="D449" s="1100">
        <v>0.98046884422451386</v>
      </c>
      <c r="E449" s="1100">
        <v>1.0283341825724397</v>
      </c>
      <c r="F449" s="1100">
        <v>1.0038867487684031</v>
      </c>
      <c r="G449" s="1100">
        <v>1.0095898652798954</v>
      </c>
      <c r="H449" s="1100">
        <v>0.96670487736748567</v>
      </c>
      <c r="I449" s="1100">
        <v>0.99779154986561991</v>
      </c>
      <c r="K449">
        <v>1.3123722464353145</v>
      </c>
      <c r="L449">
        <v>0</v>
      </c>
      <c r="M449">
        <v>5.3207885373208032E-4</v>
      </c>
      <c r="N449">
        <v>5.3289317772596989E-2</v>
      </c>
      <c r="O449">
        <v>7.5462919232832885E-3</v>
      </c>
      <c r="P449">
        <v>1.658466282649998E-2</v>
      </c>
      <c r="Q449">
        <v>4.4943503175238667E-4</v>
      </c>
      <c r="R449">
        <v>5.3045470458719542E-4</v>
      </c>
      <c r="S449">
        <v>5.7904348449348622E-2</v>
      </c>
      <c r="T449">
        <v>1.0355567198014561</v>
      </c>
      <c r="U449">
        <v>0</v>
      </c>
      <c r="V449">
        <v>9.7315342752564371E-2</v>
      </c>
      <c r="W449">
        <v>3.442928383210235E-2</v>
      </c>
      <c r="X449">
        <v>7.8547453533141902E-3</v>
      </c>
      <c r="Y449">
        <v>1.4437228415399748E-3</v>
      </c>
    </row>
    <row r="450" spans="1:25" x14ac:dyDescent="0.25">
      <c r="A450" s="1096"/>
      <c r="B450" s="1455">
        <v>200</v>
      </c>
      <c r="C450" s="1100">
        <v>0.96623103196014481</v>
      </c>
      <c r="D450" s="1100">
        <v>1.0320794613977966</v>
      </c>
      <c r="E450" s="1100">
        <v>1.0060828028219042</v>
      </c>
      <c r="F450" s="1100">
        <v>1.0072352178546744</v>
      </c>
      <c r="G450" s="1100">
        <v>1.0198722069528312</v>
      </c>
      <c r="H450" s="1100">
        <v>1.0064692114220115</v>
      </c>
      <c r="I450" s="1100">
        <v>0.98864497043678101</v>
      </c>
      <c r="K450">
        <v>1.3291502018583419</v>
      </c>
      <c r="L450">
        <v>0</v>
      </c>
      <c r="M450">
        <v>6.1043781070005854E-4</v>
      </c>
      <c r="N450">
        <v>5.7174055184671266E-2</v>
      </c>
      <c r="O450">
        <v>7.9339224078987611E-3</v>
      </c>
      <c r="P450">
        <v>1.644709496480129E-2</v>
      </c>
      <c r="Q450">
        <v>4.621674318405756E-4</v>
      </c>
      <c r="R450">
        <v>6.0864809210504738E-4</v>
      </c>
      <c r="S450">
        <v>6.1141212230832923E-2</v>
      </c>
      <c r="T450">
        <v>1.0396664724452096</v>
      </c>
      <c r="U450">
        <v>0</v>
      </c>
      <c r="V450">
        <v>9.9553712388627744E-2</v>
      </c>
      <c r="W450">
        <v>3.7424248823531341E-2</v>
      </c>
      <c r="X450">
        <v>7.6925662336023975E-3</v>
      </c>
      <c r="Y450">
        <v>1.6565394659202998E-3</v>
      </c>
    </row>
    <row r="451" spans="1:25" x14ac:dyDescent="0.25">
      <c r="A451" s="1096"/>
      <c r="B451" s="1455">
        <v>201</v>
      </c>
      <c r="C451" s="1100">
        <v>0.98682284885217364</v>
      </c>
      <c r="D451" s="1100">
        <v>0.9955601563562948</v>
      </c>
      <c r="E451" s="1100">
        <v>0.98364659319352477</v>
      </c>
      <c r="F451" s="1100">
        <v>1.0359095247327159</v>
      </c>
      <c r="G451" s="1100">
        <v>1.0121978224628327</v>
      </c>
      <c r="H451" s="1100">
        <v>0.98547993039108728</v>
      </c>
      <c r="I451" s="1100">
        <v>1.0164667810989811</v>
      </c>
      <c r="K451">
        <v>1.3552571099421371</v>
      </c>
      <c r="L451">
        <v>0</v>
      </c>
      <c r="M451">
        <v>6.2199140994370996E-4</v>
      </c>
      <c r="N451">
        <v>5.4433361599662715E-2</v>
      </c>
      <c r="O451">
        <v>7.8755343697918812E-3</v>
      </c>
      <c r="P451">
        <v>1.6580830593535798E-2</v>
      </c>
      <c r="Q451">
        <v>4.4850681039662377E-4</v>
      </c>
      <c r="R451">
        <v>6.201289779606136E-4</v>
      </c>
      <c r="S451">
        <v>6.2065171735804267E-2</v>
      </c>
      <c r="T451">
        <v>1.0699594031802582</v>
      </c>
      <c r="U451">
        <v>0</v>
      </c>
      <c r="V451">
        <v>9.8621978832883497E-2</v>
      </c>
      <c r="W451">
        <v>3.6110552984115037E-2</v>
      </c>
      <c r="X451">
        <v>7.4758456151245911E-3</v>
      </c>
      <c r="Y451">
        <v>1.6877866525461457E-3</v>
      </c>
    </row>
    <row r="452" spans="1:25" x14ac:dyDescent="0.25">
      <c r="A452" s="1096"/>
      <c r="B452" s="1455">
        <v>202</v>
      </c>
      <c r="C452" s="1100">
        <v>0.99288144200153772</v>
      </c>
      <c r="D452" s="1100">
        <v>0.97913447079303206</v>
      </c>
      <c r="E452" s="1100">
        <v>1.026317043753455</v>
      </c>
      <c r="F452" s="1100">
        <v>1.007900997287746</v>
      </c>
      <c r="G452" s="1100">
        <v>0.98772733705628568</v>
      </c>
      <c r="H452" s="1100">
        <v>1.0062806189937328</v>
      </c>
      <c r="I452" s="1100">
        <v>1.0088461781663671</v>
      </c>
      <c r="K452">
        <v>1.3295194769663163</v>
      </c>
      <c r="L452">
        <v>0</v>
      </c>
      <c r="M452">
        <v>5.8159201719317529E-4</v>
      </c>
      <c r="N452">
        <v>5.7901992720650733E-2</v>
      </c>
      <c r="O452">
        <v>7.8903871659752253E-3</v>
      </c>
      <c r="P452">
        <v>1.6682462535467308E-2</v>
      </c>
      <c r="Q452">
        <v>4.6899070120586276E-4</v>
      </c>
      <c r="R452">
        <v>5.798865508743321E-4</v>
      </c>
      <c r="S452">
        <v>6.2467788432070931E-2</v>
      </c>
      <c r="T452">
        <v>1.0397564734946605</v>
      </c>
      <c r="U452">
        <v>0</v>
      </c>
      <c r="V452">
        <v>9.7332758009179135E-2</v>
      </c>
      <c r="W452">
        <v>3.74533719058531E-2</v>
      </c>
      <c r="X452">
        <v>7.9886974356398709E-3</v>
      </c>
      <c r="Y452">
        <v>1.5782600319298112E-3</v>
      </c>
    </row>
    <row r="453" spans="1:25" x14ac:dyDescent="0.25">
      <c r="A453" s="1096"/>
      <c r="B453" s="1455">
        <v>203</v>
      </c>
      <c r="C453" s="1100">
        <v>0.95875696860024018</v>
      </c>
      <c r="D453" s="1100">
        <v>0.9889892022386928</v>
      </c>
      <c r="E453" s="1100">
        <v>1.0362731407907784</v>
      </c>
      <c r="F453" s="1100">
        <v>0.9928516512095239</v>
      </c>
      <c r="G453" s="1100">
        <v>1.0386985566898588</v>
      </c>
      <c r="H453" s="1100">
        <v>0.99851598630767802</v>
      </c>
      <c r="I453" s="1100">
        <v>1.0306855685250842</v>
      </c>
      <c r="K453">
        <v>1.3234634081832144</v>
      </c>
      <c r="L453">
        <v>0</v>
      </c>
      <c r="M453">
        <v>5.8303119301434552E-4</v>
      </c>
      <c r="N453">
        <v>5.9812277666802596E-2</v>
      </c>
      <c r="O453">
        <v>8.1411309784652896E-3</v>
      </c>
      <c r="P453">
        <v>1.6671531350258902E-2</v>
      </c>
      <c r="Q453">
        <v>4.8867781727977432E-4</v>
      </c>
      <c r="R453">
        <v>5.8130821162381873E-4</v>
      </c>
      <c r="S453">
        <v>6.5491969918662934E-2</v>
      </c>
      <c r="T453">
        <v>1.0239464284758535</v>
      </c>
      <c r="U453">
        <v>0</v>
      </c>
      <c r="V453">
        <v>0.10069935312957333</v>
      </c>
      <c r="W453">
        <v>3.8466297702560791E-2</v>
      </c>
      <c r="X453">
        <v>8.1653348013065261E-3</v>
      </c>
      <c r="Y453">
        <v>1.5821293238395737E-3</v>
      </c>
    </row>
    <row r="454" spans="1:25" x14ac:dyDescent="0.25">
      <c r="A454" s="1096"/>
      <c r="B454" s="1455">
        <v>204</v>
      </c>
      <c r="C454" s="1100">
        <v>1.0035037952609061</v>
      </c>
      <c r="D454" s="1100">
        <v>0.97750875992949804</v>
      </c>
      <c r="E454" s="1100">
        <v>0.96987457890829598</v>
      </c>
      <c r="F454" s="1100">
        <v>0.99963084203755082</v>
      </c>
      <c r="G454" s="1100">
        <v>0.97549033489776871</v>
      </c>
      <c r="H454" s="1100">
        <v>0.98753938185487389</v>
      </c>
      <c r="I454" s="1100">
        <v>1.0023907016025171</v>
      </c>
      <c r="K454">
        <v>1.3120473789513596</v>
      </c>
      <c r="L454">
        <v>0</v>
      </c>
      <c r="M454">
        <v>6.3525949383304498E-4</v>
      </c>
      <c r="N454">
        <v>5.3325327682925715E-2</v>
      </c>
      <c r="O454">
        <v>7.7981280866374798E-3</v>
      </c>
      <c r="P454">
        <v>1.5867906703697619E-2</v>
      </c>
      <c r="Q454">
        <v>4.3791436669673908E-4</v>
      </c>
      <c r="R454">
        <v>6.3336129999695982E-4</v>
      </c>
      <c r="S454">
        <v>6.0833357503223558E-2</v>
      </c>
      <c r="T454">
        <v>1.0329075963950982</v>
      </c>
      <c r="U454">
        <v>0</v>
      </c>
      <c r="V454">
        <v>9.6413929448513166E-2</v>
      </c>
      <c r="W454">
        <v>3.5671663361393824E-2</v>
      </c>
      <c r="X454">
        <v>7.0696529259144146E-3</v>
      </c>
      <c r="Y454">
        <v>1.7238006710952932E-3</v>
      </c>
    </row>
    <row r="455" spans="1:25" x14ac:dyDescent="0.25">
      <c r="A455" s="1096"/>
      <c r="B455" s="1455">
        <v>205</v>
      </c>
      <c r="C455" s="1100">
        <v>0.97995074494296397</v>
      </c>
      <c r="D455" s="1100">
        <v>1.0405244245398406</v>
      </c>
      <c r="E455" s="1100">
        <v>1.0203470682980817</v>
      </c>
      <c r="F455" s="1100">
        <v>1.0112765517926414</v>
      </c>
      <c r="G455" s="1100">
        <v>1.0079466599407869</v>
      </c>
      <c r="H455" s="1100">
        <v>1.0021399944549887</v>
      </c>
      <c r="I455" s="1100">
        <v>0.99452454281389713</v>
      </c>
      <c r="K455">
        <v>1.3301829608902536</v>
      </c>
      <c r="L455">
        <v>0</v>
      </c>
      <c r="M455">
        <v>5.7990144199301572E-4</v>
      </c>
      <c r="N455">
        <v>5.6702759869482935E-2</v>
      </c>
      <c r="O455">
        <v>7.8009098293682026E-3</v>
      </c>
      <c r="P455">
        <v>1.6647950642010297E-2</v>
      </c>
      <c r="Q455">
        <v>4.6093358254906976E-4</v>
      </c>
      <c r="R455">
        <v>5.7819390700117887E-4</v>
      </c>
      <c r="S455">
        <v>6.0261808415769336E-2</v>
      </c>
      <c r="T455">
        <v>1.0434142333256962</v>
      </c>
      <c r="U455">
        <v>0</v>
      </c>
      <c r="V455">
        <v>9.8633791234814402E-2</v>
      </c>
      <c r="W455">
        <v>3.6805653024617045E-2</v>
      </c>
      <c r="X455">
        <v>7.8829752876495452E-3</v>
      </c>
      <c r="Y455">
        <v>1.5736532132869915E-3</v>
      </c>
    </row>
    <row r="456" spans="1:25" x14ac:dyDescent="0.25">
      <c r="A456" s="1096"/>
      <c r="B456" s="1455">
        <v>206</v>
      </c>
      <c r="C456" s="1100">
        <v>0.99355977400935691</v>
      </c>
      <c r="D456" s="1100">
        <v>0.98173279001579727</v>
      </c>
      <c r="E456" s="1100">
        <v>1.0237329006083</v>
      </c>
      <c r="F456" s="1100">
        <v>0.97668065392800751</v>
      </c>
      <c r="G456" s="1100">
        <v>1.0103711654886631</v>
      </c>
      <c r="H456" s="1100">
        <v>0.99005346888495793</v>
      </c>
      <c r="I456" s="1100">
        <v>1.0321591464440176</v>
      </c>
      <c r="K456">
        <v>1.2966854852904044</v>
      </c>
      <c r="L456">
        <v>0</v>
      </c>
      <c r="M456">
        <v>5.742987051742302E-4</v>
      </c>
      <c r="N456">
        <v>5.6729316268283314E-2</v>
      </c>
      <c r="O456">
        <v>7.8760003244178565E-3</v>
      </c>
      <c r="P456">
        <v>1.6230896726528624E-2</v>
      </c>
      <c r="Q456">
        <v>4.6693778189533792E-4</v>
      </c>
      <c r="R456">
        <v>5.7258702348149794E-4</v>
      </c>
      <c r="S456">
        <v>6.3255528235429931E-2</v>
      </c>
      <c r="T456">
        <v>1.0076226362833449</v>
      </c>
      <c r="U456">
        <v>0</v>
      </c>
      <c r="V456">
        <v>9.8408412631926442E-2</v>
      </c>
      <c r="W456">
        <v>3.675013739871099E-2</v>
      </c>
      <c r="X456">
        <v>7.7889381969042095E-3</v>
      </c>
      <c r="Y456">
        <v>1.5583931246550748E-3</v>
      </c>
    </row>
    <row r="457" spans="1:25" x14ac:dyDescent="0.25">
      <c r="A457" s="1096"/>
      <c r="B457" s="1455">
        <v>207</v>
      </c>
      <c r="C457" s="1100">
        <v>0.98137275924515754</v>
      </c>
      <c r="D457" s="1100">
        <v>0.97118975033236632</v>
      </c>
      <c r="E457" s="1100">
        <v>1.0051352012663346</v>
      </c>
      <c r="F457" s="1100">
        <v>1.0342696399004747</v>
      </c>
      <c r="G457" s="1100">
        <v>0.99843882884419444</v>
      </c>
      <c r="H457" s="1100">
        <v>1.0342068687173773</v>
      </c>
      <c r="I457" s="1100">
        <v>1.0094277126934061</v>
      </c>
      <c r="K457">
        <v>1.3629836570079179</v>
      </c>
      <c r="L457">
        <v>0</v>
      </c>
      <c r="M457">
        <v>6.3403516755500895E-4</v>
      </c>
      <c r="N457">
        <v>5.9219172346813835E-2</v>
      </c>
      <c r="O457">
        <v>8.003602762744786E-3</v>
      </c>
      <c r="P457">
        <v>1.6842699885311594E-2</v>
      </c>
      <c r="Q457">
        <v>4.6578395746901938E-4</v>
      </c>
      <c r="R457">
        <v>6.3222612098173456E-4</v>
      </c>
      <c r="S457">
        <v>6.4379632955256796E-2</v>
      </c>
      <c r="T457">
        <v>1.0676003650978947</v>
      </c>
      <c r="U457">
        <v>0</v>
      </c>
      <c r="V457">
        <v>9.8119943080301586E-2</v>
      </c>
      <c r="W457">
        <v>3.8784656052825398E-2</v>
      </c>
      <c r="X457">
        <v>7.8488988278468171E-3</v>
      </c>
      <c r="Y457">
        <v>1.7207110880275123E-3</v>
      </c>
    </row>
    <row r="458" spans="1:25" x14ac:dyDescent="0.25">
      <c r="A458" s="1096"/>
      <c r="B458" s="1455">
        <v>208</v>
      </c>
      <c r="C458" s="1100">
        <v>1.029541556633921</v>
      </c>
      <c r="D458" s="1100">
        <v>0.97677818437988928</v>
      </c>
      <c r="E458" s="1100">
        <v>1.005716370218652</v>
      </c>
      <c r="F458" s="1100">
        <v>0.95900655254325551</v>
      </c>
      <c r="G458" s="1100">
        <v>0.96601571067159453</v>
      </c>
      <c r="H458" s="1100">
        <v>1.0168841230574459</v>
      </c>
      <c r="I458" s="1100">
        <v>1.0131231886950691</v>
      </c>
      <c r="K458">
        <v>1.2705344719378402</v>
      </c>
      <c r="L458">
        <v>0</v>
      </c>
      <c r="M458">
        <v>5.9217051297546022E-4</v>
      </c>
      <c r="N458">
        <v>5.5403453995805395E-2</v>
      </c>
      <c r="O458">
        <v>7.6117915421193691E-3</v>
      </c>
      <c r="P458">
        <v>1.5699976399663466E-2</v>
      </c>
      <c r="Q458">
        <v>4.4323988411331278E-4</v>
      </c>
      <c r="R458">
        <v>5.9045213329053322E-4</v>
      </c>
      <c r="S458">
        <v>6.0878578654720426E-2</v>
      </c>
      <c r="T458">
        <v>0.98989532450649975</v>
      </c>
      <c r="U458">
        <v>0</v>
      </c>
      <c r="V458">
        <v>9.5370382749911525E-2</v>
      </c>
      <c r="W458">
        <v>3.6273134039263993E-2</v>
      </c>
      <c r="X458">
        <v>7.3532924811044471E-3</v>
      </c>
      <c r="Y458">
        <v>1.6070160643234035E-3</v>
      </c>
    </row>
    <row r="459" spans="1:25" x14ac:dyDescent="0.25">
      <c r="A459" s="1096"/>
      <c r="B459" s="1455">
        <v>209</v>
      </c>
      <c r="C459" s="1100">
        <v>0.98315731712021703</v>
      </c>
      <c r="D459" s="1100">
        <v>1.0304184545637867</v>
      </c>
      <c r="E459" s="1100">
        <v>1.0094559043981965</v>
      </c>
      <c r="F459" s="1100">
        <v>0.99593902747526253</v>
      </c>
      <c r="G459" s="1100">
        <v>0.96290675831140793</v>
      </c>
      <c r="H459" s="1100">
        <v>1.0354500923756562</v>
      </c>
      <c r="I459" s="1100">
        <v>0.96388748613331188</v>
      </c>
      <c r="K459">
        <v>1.3135354547105156</v>
      </c>
      <c r="L459">
        <v>0</v>
      </c>
      <c r="M459">
        <v>6.1328950739931087E-4</v>
      </c>
      <c r="N459">
        <v>5.8033953693918443E-2</v>
      </c>
      <c r="O459">
        <v>7.8031883634012136E-3</v>
      </c>
      <c r="P459">
        <v>1.6260223793492495E-2</v>
      </c>
      <c r="Q459">
        <v>4.5608908104475317E-4</v>
      </c>
      <c r="R459">
        <v>6.1154175389454863E-4</v>
      </c>
      <c r="S459">
        <v>5.949494424178195E-2</v>
      </c>
      <c r="T459">
        <v>1.0279073478895882</v>
      </c>
      <c r="U459">
        <v>0</v>
      </c>
      <c r="V459">
        <v>9.635992565499496E-2</v>
      </c>
      <c r="W459">
        <v>3.7911494602918129E-2</v>
      </c>
      <c r="X459">
        <v>7.6456200834633756E-3</v>
      </c>
      <c r="Y459">
        <v>1.6644150594159698E-3</v>
      </c>
    </row>
    <row r="460" spans="1:25" x14ac:dyDescent="0.25">
      <c r="A460" s="1096"/>
      <c r="B460" s="1455">
        <v>210</v>
      </c>
      <c r="C460" s="1100">
        <v>0.97897128588465465</v>
      </c>
      <c r="D460" s="1100">
        <v>1.0390078769320186</v>
      </c>
      <c r="E460" s="1100">
        <v>0.98965003837027998</v>
      </c>
      <c r="F460" s="1100">
        <v>0.98901905715769078</v>
      </c>
      <c r="G460" s="1100">
        <v>1.0083757477507564</v>
      </c>
      <c r="H460" s="1100">
        <v>0.97029160020927707</v>
      </c>
      <c r="I460" s="1100">
        <v>1.0306278640165207</v>
      </c>
      <c r="K460">
        <v>1.3034156265387951</v>
      </c>
      <c r="L460">
        <v>0</v>
      </c>
      <c r="M460">
        <v>5.9936396069247761E-4</v>
      </c>
      <c r="N460">
        <v>5.3411627673299496E-2</v>
      </c>
      <c r="O460">
        <v>7.805685624593957E-3</v>
      </c>
      <c r="P460">
        <v>1.5991246408485996E-2</v>
      </c>
      <c r="Q460">
        <v>4.4723966022269796E-4</v>
      </c>
      <c r="R460">
        <v>5.9754118943303224E-4</v>
      </c>
      <c r="S460">
        <v>6.1521649096793925E-2</v>
      </c>
      <c r="T460">
        <v>1.0213485693300186</v>
      </c>
      <c r="U460">
        <v>0</v>
      </c>
      <c r="V460">
        <v>9.8645193901440401E-2</v>
      </c>
      <c r="W460">
        <v>3.5305204976379054E-2</v>
      </c>
      <c r="X460">
        <v>7.3147225005829215E-3</v>
      </c>
      <c r="Y460">
        <v>1.6263101382365567E-3</v>
      </c>
    </row>
    <row r="461" spans="1:25" x14ac:dyDescent="0.25">
      <c r="A461" s="1096"/>
      <c r="B461" s="1455">
        <v>211</v>
      </c>
      <c r="C461" s="1100">
        <v>1.0008810035238962</v>
      </c>
      <c r="D461" s="1100">
        <v>1.0019685275515726</v>
      </c>
      <c r="E461" s="1100">
        <v>0.98958315506549333</v>
      </c>
      <c r="F461" s="1100">
        <v>0.97651686030132623</v>
      </c>
      <c r="G461" s="1100">
        <v>0.98669983535044403</v>
      </c>
      <c r="H461" s="1100">
        <v>0.99439157836950998</v>
      </c>
      <c r="I461" s="1100">
        <v>1.0375517665251839</v>
      </c>
      <c r="K461">
        <v>1.2911451394775328</v>
      </c>
      <c r="L461">
        <v>0</v>
      </c>
      <c r="M461">
        <v>6.0967636219163288E-4</v>
      </c>
      <c r="N461">
        <v>5.4323635515253071E-2</v>
      </c>
      <c r="O461">
        <v>7.7464647631088727E-3</v>
      </c>
      <c r="P461">
        <v>1.5807775861152663E-2</v>
      </c>
      <c r="Q461">
        <v>4.4381649219975321E-4</v>
      </c>
      <c r="R461">
        <v>6.0786716569505804E-4</v>
      </c>
      <c r="S461">
        <v>6.2535543674732172E-2</v>
      </c>
      <c r="T461">
        <v>1.008439659159132</v>
      </c>
      <c r="U461">
        <v>0</v>
      </c>
      <c r="V461">
        <v>9.704250936362796E-2</v>
      </c>
      <c r="W461">
        <v>3.5909483392221636E-2</v>
      </c>
      <c r="X461">
        <v>7.2436464109361743E-3</v>
      </c>
      <c r="Y461">
        <v>1.6544140416646308E-3</v>
      </c>
    </row>
    <row r="462" spans="1:25" x14ac:dyDescent="0.25">
      <c r="A462" s="1096"/>
      <c r="B462" s="1455">
        <v>212</v>
      </c>
      <c r="C462" s="1100">
        <v>0.98370964791303239</v>
      </c>
      <c r="D462" s="1100">
        <v>1.0023076911749569</v>
      </c>
      <c r="E462" s="1100">
        <v>0.99495862988258543</v>
      </c>
      <c r="F462" s="1100">
        <v>1.031659902980961</v>
      </c>
      <c r="G462" s="1100">
        <v>1.0259764958565478</v>
      </c>
      <c r="H462" s="1100">
        <v>1.0151617438152492</v>
      </c>
      <c r="I462" s="1100">
        <v>1.0009224927194653</v>
      </c>
      <c r="K462">
        <v>1.3550370567689884</v>
      </c>
      <c r="L462">
        <v>0</v>
      </c>
      <c r="M462">
        <v>6.2617709107759621E-4</v>
      </c>
      <c r="N462">
        <v>5.6711383396831946E-2</v>
      </c>
      <c r="O462">
        <v>7.8819564499626165E-3</v>
      </c>
      <c r="P462">
        <v>1.6668010222199582E-2</v>
      </c>
      <c r="Q462">
        <v>4.5403634570175162E-4</v>
      </c>
      <c r="R462">
        <v>6.2435694707078688E-4</v>
      </c>
      <c r="S462">
        <v>6.2019719250938625E-2</v>
      </c>
      <c r="T462">
        <v>1.065219008181032</v>
      </c>
      <c r="U462">
        <v>0</v>
      </c>
      <c r="V462">
        <v>9.9380670332051529E-2</v>
      </c>
      <c r="W462">
        <v>3.7367543551200325E-2</v>
      </c>
      <c r="X462">
        <v>7.6372553923613083E-3</v>
      </c>
      <c r="Y462">
        <v>1.6992937907143952E-3</v>
      </c>
    </row>
    <row r="463" spans="1:25" x14ac:dyDescent="0.25">
      <c r="A463" s="1096"/>
      <c r="B463" s="1455">
        <v>213</v>
      </c>
      <c r="C463" s="1100">
        <v>0.96976912117873415</v>
      </c>
      <c r="D463" s="1100">
        <v>1.0030758844069385</v>
      </c>
      <c r="E463" s="1100">
        <v>0.9796467365016287</v>
      </c>
      <c r="F463" s="1100">
        <v>1.0102978396634759</v>
      </c>
      <c r="G463" s="1100">
        <v>0.99919729170885152</v>
      </c>
      <c r="H463" s="1100">
        <v>0.99912901455607428</v>
      </c>
      <c r="I463" s="1100">
        <v>1.0112955228584399</v>
      </c>
      <c r="K463">
        <v>1.3316413239711793</v>
      </c>
      <c r="L463">
        <v>0</v>
      </c>
      <c r="M463">
        <v>6.4508275405345667E-4</v>
      </c>
      <c r="N463">
        <v>5.577745992425516E-2</v>
      </c>
      <c r="O463">
        <v>7.9889472996312032E-3</v>
      </c>
      <c r="P463">
        <v>1.6187081052910321E-2</v>
      </c>
      <c r="Q463">
        <v>4.5312140937330887E-4</v>
      </c>
      <c r="R463">
        <v>6.4317756674937571E-4</v>
      </c>
      <c r="S463">
        <v>6.301178882049327E-2</v>
      </c>
      <c r="T463">
        <v>1.0436283715732246</v>
      </c>
      <c r="U463">
        <v>0</v>
      </c>
      <c r="V463">
        <v>9.8430161696511434E-2</v>
      </c>
      <c r="W463">
        <v>3.7091573729288362E-2</v>
      </c>
      <c r="X463">
        <v>7.3242063395295544E-3</v>
      </c>
      <c r="Y463">
        <v>1.7505173132639042E-3</v>
      </c>
    </row>
    <row r="464" spans="1:25" x14ac:dyDescent="0.25">
      <c r="A464" s="1096"/>
      <c r="B464" s="1455">
        <v>214</v>
      </c>
      <c r="C464" s="1100">
        <v>1.0039377232229278</v>
      </c>
      <c r="D464" s="1100">
        <v>1.0268096469282935</v>
      </c>
      <c r="E464" s="1100">
        <v>0.97691690414200094</v>
      </c>
      <c r="F464" s="1100">
        <v>0.98637910764269454</v>
      </c>
      <c r="G464" s="1100">
        <v>0.97327069665103205</v>
      </c>
      <c r="H464" s="1100">
        <v>0.99735360657340733</v>
      </c>
      <c r="I464" s="1100">
        <v>1.0182233695247513</v>
      </c>
      <c r="K464">
        <v>1.2969027018237194</v>
      </c>
      <c r="L464">
        <v>0</v>
      </c>
      <c r="M464">
        <v>6.1971631888699241E-4</v>
      </c>
      <c r="N464">
        <v>5.3143042632815454E-2</v>
      </c>
      <c r="O464">
        <v>7.6445387428483108E-3</v>
      </c>
      <c r="P464">
        <v>1.5760727433370363E-2</v>
      </c>
      <c r="Q464">
        <v>4.323845502192467E-4</v>
      </c>
      <c r="R464">
        <v>6.1788279071021382E-4</v>
      </c>
      <c r="S464">
        <v>6.0463801324992981E-2</v>
      </c>
      <c r="T464">
        <v>1.0190024364469117</v>
      </c>
      <c r="U464">
        <v>0</v>
      </c>
      <c r="V464">
        <v>9.6303605036731618E-2</v>
      </c>
      <c r="W464">
        <v>3.5398086187760781E-2</v>
      </c>
      <c r="X464">
        <v>7.074239724938737E-3</v>
      </c>
      <c r="Y464">
        <v>1.681673271305986E-3</v>
      </c>
    </row>
    <row r="465" spans="1:25" x14ac:dyDescent="0.25">
      <c r="A465" s="1096"/>
      <c r="B465" s="1455">
        <v>215</v>
      </c>
      <c r="C465" s="1100">
        <v>0.97836175649920765</v>
      </c>
      <c r="D465" s="1100">
        <v>1.0126295667740413</v>
      </c>
      <c r="E465" s="1100">
        <v>0.997559714668109</v>
      </c>
      <c r="F465" s="1100">
        <v>0.97808901768916712</v>
      </c>
      <c r="G465" s="1100">
        <v>1.0137871935196923</v>
      </c>
      <c r="H465" s="1100">
        <v>1.0024113484862816</v>
      </c>
      <c r="I465" s="1100">
        <v>1.0134026800120264</v>
      </c>
      <c r="K465">
        <v>1.2977230337090699</v>
      </c>
      <c r="L465">
        <v>0</v>
      </c>
      <c r="M465">
        <v>6.1581987857252417E-4</v>
      </c>
      <c r="N465">
        <v>5.6211410114144246E-2</v>
      </c>
      <c r="O465">
        <v>7.89327776301154E-3</v>
      </c>
      <c r="P465">
        <v>1.5945381770571102E-2</v>
      </c>
      <c r="Q465">
        <v>4.558813404576703E-4</v>
      </c>
      <c r="R465">
        <v>6.1400707166498327E-4</v>
      </c>
      <c r="S465">
        <v>6.2392466969341816E-2</v>
      </c>
      <c r="T465">
        <v>1.0098294941988268</v>
      </c>
      <c r="U465">
        <v>0</v>
      </c>
      <c r="V465">
        <v>9.893164178768217E-2</v>
      </c>
      <c r="W465">
        <v>3.6980723803473163E-2</v>
      </c>
      <c r="X465">
        <v>7.4134439267736279E-3</v>
      </c>
      <c r="Y465">
        <v>1.6711248416953085E-3</v>
      </c>
    </row>
    <row r="466" spans="1:25" x14ac:dyDescent="0.25">
      <c r="A466" s="1096"/>
      <c r="B466" s="1455">
        <v>216</v>
      </c>
      <c r="C466" s="1100">
        <v>1.02321496323695</v>
      </c>
      <c r="D466" s="1100">
        <v>0.99679168370650795</v>
      </c>
      <c r="E466" s="1100">
        <v>1.0116083669159941</v>
      </c>
      <c r="F466" s="1100">
        <v>0.99019193945840511</v>
      </c>
      <c r="G466" s="1100">
        <v>1.0060082963030001</v>
      </c>
      <c r="H466" s="1100">
        <v>1.0134220889408632</v>
      </c>
      <c r="I466" s="1100">
        <v>0.95875107820422467</v>
      </c>
      <c r="K466">
        <v>1.3015777840178642</v>
      </c>
      <c r="L466">
        <v>0</v>
      </c>
      <c r="M466">
        <v>5.818410206961446E-4</v>
      </c>
      <c r="N466">
        <v>5.5413558218585325E-2</v>
      </c>
      <c r="O466">
        <v>7.5983888435587899E-3</v>
      </c>
      <c r="P466">
        <v>1.6187860663942979E-2</v>
      </c>
      <c r="Q466">
        <v>4.450750914610891E-4</v>
      </c>
      <c r="R466">
        <v>5.8014684756916006E-4</v>
      </c>
      <c r="S466">
        <v>5.7247550046208878E-2</v>
      </c>
      <c r="T466">
        <v>1.0219130139530539</v>
      </c>
      <c r="U466">
        <v>0</v>
      </c>
      <c r="V466">
        <v>9.7460578827208919E-2</v>
      </c>
      <c r="W466">
        <v>3.615378620539391E-2</v>
      </c>
      <c r="X466">
        <v>7.5806978678494424E-3</v>
      </c>
      <c r="Y466">
        <v>1.5789684737263509E-3</v>
      </c>
    </row>
    <row r="467" spans="1:25" x14ac:dyDescent="0.25">
      <c r="A467" s="1096"/>
      <c r="B467" s="1455">
        <v>217</v>
      </c>
      <c r="C467" s="1100">
        <v>0.99800149963893281</v>
      </c>
      <c r="D467" s="1100">
        <v>0.98646547399970397</v>
      </c>
      <c r="E467" s="1100">
        <v>0.97373427953472769</v>
      </c>
      <c r="F467" s="1100">
        <v>0.98510724269722738</v>
      </c>
      <c r="G467" s="1100">
        <v>0.98981947573285289</v>
      </c>
      <c r="H467" s="1100">
        <v>1.0194610994994193</v>
      </c>
      <c r="I467" s="1100">
        <v>0.99265871397296712</v>
      </c>
      <c r="K467">
        <v>1.3014153470550054</v>
      </c>
      <c r="L467">
        <v>0</v>
      </c>
      <c r="M467">
        <v>6.5179222204855283E-4</v>
      </c>
      <c r="N467">
        <v>5.536140561603993E-2</v>
      </c>
      <c r="O467">
        <v>7.8135161378555581E-3</v>
      </c>
      <c r="P467">
        <v>1.5729448392720922E-2</v>
      </c>
      <c r="Q467">
        <v>4.405111162302504E-4</v>
      </c>
      <c r="R467">
        <v>6.4990561117432588E-4</v>
      </c>
      <c r="S467">
        <v>6.1256642953977786E-2</v>
      </c>
      <c r="T467">
        <v>1.017784139645016</v>
      </c>
      <c r="U467">
        <v>0</v>
      </c>
      <c r="V467">
        <v>9.7247333109707748E-2</v>
      </c>
      <c r="W467">
        <v>3.6946914623640144E-2</v>
      </c>
      <c r="X467">
        <v>7.068493238400992E-3</v>
      </c>
      <c r="Y467">
        <v>1.7688288322893697E-3</v>
      </c>
    </row>
    <row r="468" spans="1:25" x14ac:dyDescent="0.25">
      <c r="A468" s="1096"/>
      <c r="B468" s="1455">
        <v>218</v>
      </c>
      <c r="C468" s="1100">
        <v>0.97864141226084311</v>
      </c>
      <c r="D468" s="1100">
        <v>0.98813211884824004</v>
      </c>
      <c r="E468" s="1100">
        <v>1.0169884731185392</v>
      </c>
      <c r="F468" s="1100">
        <v>0.97729347672912814</v>
      </c>
      <c r="G468" s="1100">
        <v>0.98439780627219431</v>
      </c>
      <c r="H468" s="1100">
        <v>1.0158760416214245</v>
      </c>
      <c r="I468" s="1100">
        <v>0.98778775258279949</v>
      </c>
      <c r="K468">
        <v>1.2986208830299979</v>
      </c>
      <c r="L468">
        <v>0</v>
      </c>
      <c r="M468">
        <v>6.0514069515678988E-4</v>
      </c>
      <c r="N468">
        <v>5.857643562109606E-2</v>
      </c>
      <c r="O468">
        <v>7.9736026045485256E-3</v>
      </c>
      <c r="P468">
        <v>1.6133240415120199E-2</v>
      </c>
      <c r="Q468">
        <v>4.6956588645271643E-4</v>
      </c>
      <c r="R468">
        <v>6.033829356312673E-4</v>
      </c>
      <c r="S468">
        <v>6.203802407179463E-2</v>
      </c>
      <c r="T468">
        <v>1.008447077548805</v>
      </c>
      <c r="U468">
        <v>0</v>
      </c>
      <c r="V468">
        <v>9.7524475033852281E-2</v>
      </c>
      <c r="W468">
        <v>3.809671559937889E-2</v>
      </c>
      <c r="X468">
        <v>7.7212945628185635E-3</v>
      </c>
      <c r="Y468">
        <v>1.6422094456570355E-3</v>
      </c>
    </row>
    <row r="469" spans="1:25" x14ac:dyDescent="0.25">
      <c r="A469" s="1096"/>
      <c r="B469" s="1455">
        <v>219</v>
      </c>
      <c r="C469" s="1100">
        <v>0.98453396036623886</v>
      </c>
      <c r="D469" s="1100">
        <v>0.99168498693171558</v>
      </c>
      <c r="E469" s="1100">
        <v>0.98100720834751909</v>
      </c>
      <c r="F469" s="1100">
        <v>0.98242097290644814</v>
      </c>
      <c r="G469" s="1100">
        <v>1.0005907900008317</v>
      </c>
      <c r="H469" s="1100">
        <v>0.98877768373656283</v>
      </c>
      <c r="I469" s="1100">
        <v>0.99239903362985482</v>
      </c>
      <c r="K469">
        <v>1.2979247948057226</v>
      </c>
      <c r="L469">
        <v>0</v>
      </c>
      <c r="M469">
        <v>6.2993013043843404E-4</v>
      </c>
      <c r="N469">
        <v>5.4690245113834399E-2</v>
      </c>
      <c r="O469">
        <v>7.9055095043651085E-3</v>
      </c>
      <c r="P469">
        <v>1.5784301579716744E-2</v>
      </c>
      <c r="Q469">
        <v>4.4900927917105275E-4</v>
      </c>
      <c r="R469">
        <v>6.2805021833465353E-4</v>
      </c>
      <c r="S469">
        <v>6.0963165640087268E-2</v>
      </c>
      <c r="T469">
        <v>1.01479125630044</v>
      </c>
      <c r="U469">
        <v>0</v>
      </c>
      <c r="V469">
        <v>9.8115956517801819E-2</v>
      </c>
      <c r="W469">
        <v>3.63387281673892E-2</v>
      </c>
      <c r="X469">
        <v>7.1791569574129457E-3</v>
      </c>
      <c r="Y469">
        <v>1.7093456576080948E-3</v>
      </c>
    </row>
    <row r="470" spans="1:25" x14ac:dyDescent="0.25">
      <c r="A470" s="1096"/>
      <c r="B470" s="1455">
        <v>220</v>
      </c>
      <c r="C470" s="1100">
        <v>1.0225114435023881</v>
      </c>
      <c r="D470" s="1100">
        <v>0.9595412681041372</v>
      </c>
      <c r="E470" s="1100">
        <v>1.0155171285484443</v>
      </c>
      <c r="F470" s="1100">
        <v>1.0015354090219277</v>
      </c>
      <c r="G470" s="1100">
        <v>0.99659847319618833</v>
      </c>
      <c r="H470" s="1100">
        <v>1.0142439552138147</v>
      </c>
      <c r="I470" s="1100">
        <v>1.0312889591388628</v>
      </c>
      <c r="K470">
        <v>1.3208093464569646</v>
      </c>
      <c r="L470">
        <v>0</v>
      </c>
      <c r="M470">
        <v>5.8687121599727951E-4</v>
      </c>
      <c r="N470">
        <v>5.6556055215130879E-2</v>
      </c>
      <c r="O470">
        <v>7.721297645465407E-3</v>
      </c>
      <c r="P470">
        <v>1.6466834331576731E-2</v>
      </c>
      <c r="Q470">
        <v>4.5404163430189413E-4</v>
      </c>
      <c r="R470">
        <v>5.8516378091820584E-4</v>
      </c>
      <c r="S470">
        <v>6.2921963232287145E-2</v>
      </c>
      <c r="T470">
        <v>1.0335049302954129</v>
      </c>
      <c r="U470">
        <v>0</v>
      </c>
      <c r="V470">
        <v>9.7026340100522024E-2</v>
      </c>
      <c r="W470">
        <v>3.681447867995969E-2</v>
      </c>
      <c r="X470">
        <v>7.7524898449155086E-3</v>
      </c>
      <c r="Y470">
        <v>1.59262291247082E-3</v>
      </c>
    </row>
    <row r="471" spans="1:25" x14ac:dyDescent="0.25">
      <c r="A471" s="1096"/>
      <c r="B471" s="1455">
        <v>221</v>
      </c>
      <c r="C471" s="1100">
        <v>1.0097311232826143</v>
      </c>
      <c r="D471" s="1100">
        <v>0.96070509692285699</v>
      </c>
      <c r="E471" s="1100">
        <v>0.98049560869005625</v>
      </c>
      <c r="F471" s="1100">
        <v>0.97793611956380722</v>
      </c>
      <c r="G471" s="1100">
        <v>1.0154225206555019</v>
      </c>
      <c r="H471" s="1100">
        <v>0.98657615299901635</v>
      </c>
      <c r="I471" s="1100">
        <v>1.0270304395307244</v>
      </c>
      <c r="K471">
        <v>1.293349643979089</v>
      </c>
      <c r="L471">
        <v>0</v>
      </c>
      <c r="M471">
        <v>6.2132988224687842E-4</v>
      </c>
      <c r="N471">
        <v>5.3859784257550683E-2</v>
      </c>
      <c r="O471">
        <v>7.8065882166233084E-3</v>
      </c>
      <c r="P471">
        <v>1.573804672030368E-2</v>
      </c>
      <c r="Q471">
        <v>4.4316044405857524E-4</v>
      </c>
      <c r="R471">
        <v>6.1947149829812359E-4</v>
      </c>
      <c r="S471">
        <v>6.2505281359142198E-2</v>
      </c>
      <c r="T471">
        <v>1.0101738088486145</v>
      </c>
      <c r="U471">
        <v>0</v>
      </c>
      <c r="V471">
        <v>9.820484964364655E-2</v>
      </c>
      <c r="W471">
        <v>3.5797981840663032E-2</v>
      </c>
      <c r="X471">
        <v>7.1360038227924784E-3</v>
      </c>
      <c r="Y471">
        <v>1.6859972096429606E-3</v>
      </c>
    </row>
    <row r="472" spans="1:25" x14ac:dyDescent="0.25">
      <c r="A472" s="1096"/>
      <c r="B472" s="1455">
        <v>222</v>
      </c>
      <c r="C472" s="1100">
        <v>0.97261839124606153</v>
      </c>
      <c r="D472" s="1100">
        <v>1.0025920337725558</v>
      </c>
      <c r="E472" s="1100">
        <v>1.0336090475345363</v>
      </c>
      <c r="F472" s="1100">
        <v>0.99255332644140903</v>
      </c>
      <c r="G472" s="1100">
        <v>0.99123806984675988</v>
      </c>
      <c r="H472" s="1100">
        <v>0.99610070135770223</v>
      </c>
      <c r="I472" s="1100">
        <v>0.9970586381751011</v>
      </c>
      <c r="K472">
        <v>1.3142058210132233</v>
      </c>
      <c r="L472">
        <v>0</v>
      </c>
      <c r="M472">
        <v>5.7338415951454992E-4</v>
      </c>
      <c r="N472">
        <v>5.8351835052349761E-2</v>
      </c>
      <c r="O472">
        <v>7.9806998371965455E-3</v>
      </c>
      <c r="P472">
        <v>1.6548886245776079E-2</v>
      </c>
      <c r="Q472">
        <v>4.7779107794198829E-4</v>
      </c>
      <c r="R472">
        <v>5.716855785088831E-4</v>
      </c>
      <c r="S472">
        <v>6.1917993526154742E-2</v>
      </c>
      <c r="T472">
        <v>1.0237147289356767</v>
      </c>
      <c r="U472">
        <v>0</v>
      </c>
      <c r="V472">
        <v>9.8031158676599672E-2</v>
      </c>
      <c r="W472">
        <v>3.7584915616124467E-2</v>
      </c>
      <c r="X472">
        <v>8.0435709378064556E-3</v>
      </c>
      <c r="Y472">
        <v>1.5559396886008728E-3</v>
      </c>
    </row>
    <row r="473" spans="1:25" x14ac:dyDescent="0.25">
      <c r="A473" s="1096"/>
      <c r="B473" s="1455">
        <v>223</v>
      </c>
      <c r="C473" s="1100">
        <v>1.0288379173990394</v>
      </c>
      <c r="D473" s="1100">
        <v>1.0039070001388866</v>
      </c>
      <c r="E473" s="1100">
        <v>0.98062262297113201</v>
      </c>
      <c r="F473" s="1100">
        <v>1.0203629867538202</v>
      </c>
      <c r="G473" s="1100">
        <v>0.99703795441936616</v>
      </c>
      <c r="H473" s="1100">
        <v>0.99876825149196868</v>
      </c>
      <c r="I473" s="1100">
        <v>1.0284110381761276</v>
      </c>
      <c r="K473">
        <v>1.3319042862924384</v>
      </c>
      <c r="L473">
        <v>0</v>
      </c>
      <c r="M473">
        <v>6.0640072197133547E-4</v>
      </c>
      <c r="N473">
        <v>5.258778459835E-2</v>
      </c>
      <c r="O473">
        <v>7.5280143455061345E-3</v>
      </c>
      <c r="P473">
        <v>1.6281681223330235E-2</v>
      </c>
      <c r="Q473">
        <v>4.2740165927667242E-4</v>
      </c>
      <c r="R473">
        <v>6.0460913127151144E-4</v>
      </c>
      <c r="S473">
        <v>6.0362425981493134E-2</v>
      </c>
      <c r="T473">
        <v>1.0539953459418261</v>
      </c>
      <c r="U473">
        <v>0</v>
      </c>
      <c r="V473">
        <v>9.6860044270076495E-2</v>
      </c>
      <c r="W473">
        <v>3.4949866099977314E-2</v>
      </c>
      <c r="X473">
        <v>7.267967017328146E-3</v>
      </c>
      <c r="Y473">
        <v>1.6455467459744961E-3</v>
      </c>
    </row>
    <row r="474" spans="1:25" x14ac:dyDescent="0.25">
      <c r="A474" s="1096"/>
      <c r="B474" s="1455">
        <v>224</v>
      </c>
      <c r="C474" s="1100">
        <v>0.97518043995158687</v>
      </c>
      <c r="D474" s="1100">
        <v>1.0174346136963188</v>
      </c>
      <c r="E474" s="1100">
        <v>1.0130979124687636</v>
      </c>
      <c r="F474" s="1100">
        <v>1.0096797507682673</v>
      </c>
      <c r="G474" s="1100">
        <v>1.0409785803129721</v>
      </c>
      <c r="H474" s="1100">
        <v>1.0389175452936423</v>
      </c>
      <c r="I474" s="1100">
        <v>1.0329369283397791</v>
      </c>
      <c r="K474">
        <v>1.3394774241360294</v>
      </c>
      <c r="L474">
        <v>0</v>
      </c>
      <c r="M474">
        <v>6.1883046639298923E-4</v>
      </c>
      <c r="N474">
        <v>5.9206197208724123E-2</v>
      </c>
      <c r="O474">
        <v>7.9079345088415402E-3</v>
      </c>
      <c r="P474">
        <v>1.6626300455018027E-2</v>
      </c>
      <c r="Q474">
        <v>4.638960427595601E-4</v>
      </c>
      <c r="R474">
        <v>6.170728081935882E-4</v>
      </c>
      <c r="S474">
        <v>6.4829813172453218E-2</v>
      </c>
      <c r="T474">
        <v>1.0419809096738084</v>
      </c>
      <c r="U474">
        <v>0</v>
      </c>
      <c r="V474">
        <v>0.10034742761945004</v>
      </c>
      <c r="W474">
        <v>3.8594388033452678E-2</v>
      </c>
      <c r="X474">
        <v>7.8428463138152348E-3</v>
      </c>
      <c r="Y474">
        <v>1.6794687659063962E-3</v>
      </c>
    </row>
    <row r="475" spans="1:25" x14ac:dyDescent="0.25">
      <c r="A475" s="1096"/>
      <c r="B475" s="1455">
        <v>225</v>
      </c>
      <c r="C475" s="1100">
        <v>0.98284786663638857</v>
      </c>
      <c r="D475" s="1100">
        <v>1.0167213309282939</v>
      </c>
      <c r="E475" s="1100">
        <v>1.0141580409048707</v>
      </c>
      <c r="F475" s="1100">
        <v>0.97765767699270989</v>
      </c>
      <c r="G475" s="1100">
        <v>0.98741736978495775</v>
      </c>
      <c r="H475" s="1100">
        <v>0.98015675120241486</v>
      </c>
      <c r="I475" s="1100">
        <v>0.96247677419703337</v>
      </c>
      <c r="K475">
        <v>1.2898451136377995</v>
      </c>
      <c r="L475">
        <v>0</v>
      </c>
      <c r="M475">
        <v>5.7816210636893006E-4</v>
      </c>
      <c r="N475">
        <v>5.5483076953517202E-2</v>
      </c>
      <c r="O475">
        <v>7.848707790785947E-3</v>
      </c>
      <c r="P475">
        <v>1.6053712683189371E-2</v>
      </c>
      <c r="Q475">
        <v>4.6090889091942742E-4</v>
      </c>
      <c r="R475">
        <v>5.7642151066746494E-4</v>
      </c>
      <c r="S475">
        <v>5.8213876533513426E-2</v>
      </c>
      <c r="T475">
        <v>1.0089039722749515</v>
      </c>
      <c r="U475">
        <v>0</v>
      </c>
      <c r="V475">
        <v>9.7558970331996397E-2</v>
      </c>
      <c r="W475">
        <v>3.6144882112677135E-2</v>
      </c>
      <c r="X475">
        <v>7.6099173272118018E-3</v>
      </c>
      <c r="Y475">
        <v>1.5688293347369162E-3</v>
      </c>
    </row>
    <row r="476" spans="1:25" x14ac:dyDescent="0.25">
      <c r="A476" s="1096"/>
      <c r="B476" s="1455">
        <v>226</v>
      </c>
      <c r="C476" s="1100">
        <v>1.0003299447711618</v>
      </c>
      <c r="D476" s="1100">
        <v>1.0097219149458967</v>
      </c>
      <c r="E476" s="1100">
        <v>0.97009549410766549</v>
      </c>
      <c r="F476" s="1100">
        <v>1.0143664886339134</v>
      </c>
      <c r="G476" s="1100">
        <v>0.98476191407657698</v>
      </c>
      <c r="H476" s="1100">
        <v>1.023313582270803</v>
      </c>
      <c r="I476" s="1100">
        <v>0.99547076589652495</v>
      </c>
      <c r="K476">
        <v>1.3301869371691619</v>
      </c>
      <c r="L476">
        <v>0</v>
      </c>
      <c r="M476">
        <v>6.5155444251701982E-4</v>
      </c>
      <c r="N476">
        <v>5.4735498989598591E-2</v>
      </c>
      <c r="O476">
        <v>7.7221224978700825E-3</v>
      </c>
      <c r="P476">
        <v>1.6077988361775417E-2</v>
      </c>
      <c r="Q476">
        <v>4.3374409650376609E-4</v>
      </c>
      <c r="R476">
        <v>6.496756198539549E-4</v>
      </c>
      <c r="S476">
        <v>6.0640804331531802E-2</v>
      </c>
      <c r="T476">
        <v>1.0481269072686741</v>
      </c>
      <c r="U476">
        <v>0</v>
      </c>
      <c r="V476">
        <v>9.6940932541442745E-2</v>
      </c>
      <c r="W476">
        <v>3.6610066292909652E-2</v>
      </c>
      <c r="X476">
        <v>7.1325487397862018E-3</v>
      </c>
      <c r="Y476">
        <v>1.768202871731939E-3</v>
      </c>
    </row>
    <row r="477" spans="1:25" x14ac:dyDescent="0.25">
      <c r="A477" s="1096"/>
      <c r="B477" s="1455">
        <v>227</v>
      </c>
      <c r="C477" s="1100">
        <v>0.99429349031416547</v>
      </c>
      <c r="D477" s="1100">
        <v>1.0421777392571925</v>
      </c>
      <c r="E477" s="1100">
        <v>1.0007996153576917</v>
      </c>
      <c r="F477" s="1100">
        <v>0.95625432227231266</v>
      </c>
      <c r="G477" s="1100">
        <v>1.0004721272090282</v>
      </c>
      <c r="H477" s="1100">
        <v>1.036437064173811</v>
      </c>
      <c r="I477" s="1100">
        <v>0.99713402793712624</v>
      </c>
      <c r="K477">
        <v>1.2722723805467842</v>
      </c>
      <c r="L477">
        <v>0</v>
      </c>
      <c r="M477">
        <v>6.1520624676500901E-4</v>
      </c>
      <c r="N477">
        <v>5.6713301016141839E-2</v>
      </c>
      <c r="O477">
        <v>7.6787455570851973E-3</v>
      </c>
      <c r="P477">
        <v>1.5635126933897143E-2</v>
      </c>
      <c r="Q477">
        <v>4.4493821581281356E-4</v>
      </c>
      <c r="R477">
        <v>6.1345470047446428E-4</v>
      </c>
      <c r="S477">
        <v>6.0512085399912423E-2</v>
      </c>
      <c r="T477">
        <v>0.98719393666849731</v>
      </c>
      <c r="U477">
        <v>0</v>
      </c>
      <c r="V477">
        <v>9.7885265834138854E-2</v>
      </c>
      <c r="W477">
        <v>3.7239087043285317E-2</v>
      </c>
      <c r="X477">
        <v>7.3020239548990751E-3</v>
      </c>
      <c r="Y477">
        <v>1.6696214694038294E-3</v>
      </c>
    </row>
    <row r="478" spans="1:25" x14ac:dyDescent="0.25">
      <c r="A478" s="1096"/>
      <c r="B478" s="1455">
        <v>228</v>
      </c>
      <c r="C478" s="1100">
        <v>1.00444313012481</v>
      </c>
      <c r="D478" s="1100">
        <v>0.99540581616794477</v>
      </c>
      <c r="E478" s="1100">
        <v>1.0094401128047963</v>
      </c>
      <c r="F478" s="1100">
        <v>0.96637538194554518</v>
      </c>
      <c r="G478" s="1100">
        <v>1.0011015309032665</v>
      </c>
      <c r="H478" s="1100">
        <v>1.0324675819897702</v>
      </c>
      <c r="I478" s="1100">
        <v>0.99741337849632339</v>
      </c>
      <c r="K478">
        <v>1.2845274600300685</v>
      </c>
      <c r="L478">
        <v>0</v>
      </c>
      <c r="M478">
        <v>6.0691808538808638E-4</v>
      </c>
      <c r="N478">
        <v>5.7427830812242765E-2</v>
      </c>
      <c r="O478">
        <v>7.7441707155259647E-3</v>
      </c>
      <c r="P478">
        <v>1.5883683220169233E-2</v>
      </c>
      <c r="Q478">
        <v>4.5263240713907578E-4</v>
      </c>
      <c r="R478">
        <v>6.0518349285261389E-4</v>
      </c>
      <c r="S478">
        <v>6.1290864207645804E-2</v>
      </c>
      <c r="T478">
        <v>0.99739519853488867</v>
      </c>
      <c r="U478">
        <v>0</v>
      </c>
      <c r="V478">
        <v>9.7673498721047219E-2</v>
      </c>
      <c r="W478">
        <v>3.7515885820617559E-2</v>
      </c>
      <c r="X478">
        <v>7.4983202144653753E-3</v>
      </c>
      <c r="Y478">
        <v>1.6471099688600132E-3</v>
      </c>
    </row>
    <row r="479" spans="1:25" x14ac:dyDescent="0.25">
      <c r="A479" s="1096"/>
      <c r="B479" s="1455">
        <v>229</v>
      </c>
      <c r="C479" s="1100">
        <v>1.0098207345885473</v>
      </c>
      <c r="D479" s="1100">
        <v>0.967893362751306</v>
      </c>
      <c r="E479" s="1100">
        <v>0.99705756874640239</v>
      </c>
      <c r="F479" s="1100">
        <v>1.0078348904929966</v>
      </c>
      <c r="G479" s="1100">
        <v>0.98701258823706284</v>
      </c>
      <c r="H479" s="1100">
        <v>1.0267819692186761</v>
      </c>
      <c r="I479" s="1100">
        <v>0.9830094003342067</v>
      </c>
      <c r="K479">
        <v>1.3261033177115817</v>
      </c>
      <c r="L479">
        <v>0</v>
      </c>
      <c r="M479">
        <v>6.2293474886316431E-4</v>
      </c>
      <c r="N479">
        <v>5.6778612018958174E-2</v>
      </c>
      <c r="O479">
        <v>7.786726348289209E-3</v>
      </c>
      <c r="P479">
        <v>1.6307581547962517E-2</v>
      </c>
      <c r="Q479">
        <v>4.4950011543345227E-4</v>
      </c>
      <c r="R479">
        <v>6.2114452170046908E-4</v>
      </c>
      <c r="S479">
        <v>6.0807895139211095E-2</v>
      </c>
      <c r="T479">
        <v>1.040555769949054</v>
      </c>
      <c r="U479">
        <v>0</v>
      </c>
      <c r="V479">
        <v>9.6846728551388706E-2</v>
      </c>
      <c r="W479">
        <v>3.7365051820086786E-2</v>
      </c>
      <c r="X479">
        <v>7.5166918205266395E-3</v>
      </c>
      <c r="Y479">
        <v>1.6905506278321286E-3</v>
      </c>
    </row>
    <row r="480" spans="1:25" x14ac:dyDescent="0.25">
      <c r="A480" s="1096"/>
      <c r="B480" s="1455">
        <v>230</v>
      </c>
      <c r="C480" s="1100">
        <v>0.99151389698292625</v>
      </c>
      <c r="D480" s="1100">
        <v>0.98882054694454602</v>
      </c>
      <c r="E480" s="1100">
        <v>0.97709178312543699</v>
      </c>
      <c r="F480" s="1100">
        <v>0.98810436800946733</v>
      </c>
      <c r="G480" s="1100">
        <v>0.96745578653549225</v>
      </c>
      <c r="H480" s="1100">
        <v>0.9723734996690393</v>
      </c>
      <c r="I480" s="1100">
        <v>0.98614834677659735</v>
      </c>
      <c r="K480">
        <v>1.2984764883943223</v>
      </c>
      <c r="L480">
        <v>0</v>
      </c>
      <c r="M480">
        <v>6.2083596035301838E-4</v>
      </c>
      <c r="N480">
        <v>5.3263179196792028E-2</v>
      </c>
      <c r="O480">
        <v>7.8579747987140899E-3</v>
      </c>
      <c r="P480">
        <v>1.5777348504664303E-2</v>
      </c>
      <c r="Q480">
        <v>4.4453589665786517E-4</v>
      </c>
      <c r="R480">
        <v>6.189519314183685E-4</v>
      </c>
      <c r="S480">
        <v>5.9742261037285756E-2</v>
      </c>
      <c r="T480">
        <v>1.0207794956078564</v>
      </c>
      <c r="U480">
        <v>0</v>
      </c>
      <c r="V480">
        <v>9.6331733087795135E-2</v>
      </c>
      <c r="W480">
        <v>3.5474352978211859E-2</v>
      </c>
      <c r="X480">
        <v>7.1229081954093708E-3</v>
      </c>
      <c r="Y480">
        <v>1.6845831198714436E-3</v>
      </c>
    </row>
    <row r="481" spans="1:25" x14ac:dyDescent="0.25">
      <c r="A481" s="1096"/>
      <c r="B481" s="1455">
        <v>231</v>
      </c>
      <c r="C481" s="1100">
        <v>0.9752530760606084</v>
      </c>
      <c r="D481" s="1100">
        <v>0.9903415396158054</v>
      </c>
      <c r="E481" s="1100">
        <v>0.97348162503071156</v>
      </c>
      <c r="F481" s="1100">
        <v>0.96751328419850247</v>
      </c>
      <c r="G481" s="1100">
        <v>1.0251656115503172</v>
      </c>
      <c r="H481" s="1100">
        <v>1.0004551557830665</v>
      </c>
      <c r="I481" s="1100">
        <v>0.99974439146312921</v>
      </c>
      <c r="K481">
        <v>1.2868504598895534</v>
      </c>
      <c r="L481">
        <v>0</v>
      </c>
      <c r="M481">
        <v>6.5387603808670443E-4</v>
      </c>
      <c r="N481">
        <v>5.5492878788746772E-2</v>
      </c>
      <c r="O481">
        <v>7.9831755204816546E-3</v>
      </c>
      <c r="P481">
        <v>1.5529452307427407E-2</v>
      </c>
      <c r="Q481">
        <v>4.4996021251771004E-4</v>
      </c>
      <c r="R481">
        <v>6.5194744052125646E-4</v>
      </c>
      <c r="S481">
        <v>6.2403306101436178E-2</v>
      </c>
      <c r="T481">
        <v>0.99961404258830566</v>
      </c>
      <c r="U481">
        <v>0</v>
      </c>
      <c r="V481">
        <v>9.9535682129846967E-2</v>
      </c>
      <c r="W481">
        <v>3.7040335872436221E-2</v>
      </c>
      <c r="X481">
        <v>7.029168947236793E-3</v>
      </c>
      <c r="Y481">
        <v>1.7743860186828517E-3</v>
      </c>
    </row>
    <row r="482" spans="1:25" x14ac:dyDescent="0.25">
      <c r="A482" s="1096"/>
      <c r="B482" s="1455">
        <v>232</v>
      </c>
      <c r="C482" s="1100">
        <v>1.0225756827602126</v>
      </c>
      <c r="D482" s="1100">
        <v>0.99836000590559537</v>
      </c>
      <c r="E482" s="1100">
        <v>0.99004991629695205</v>
      </c>
      <c r="F482" s="1100">
        <v>1.0272154259754851</v>
      </c>
      <c r="G482" s="1100">
        <v>1.0019146474946641</v>
      </c>
      <c r="H482" s="1100">
        <v>1.0040296095570622</v>
      </c>
      <c r="I482" s="1100">
        <v>0.95788119180376963</v>
      </c>
      <c r="K482">
        <v>1.337814445810291</v>
      </c>
      <c r="L482">
        <v>0</v>
      </c>
      <c r="M482">
        <v>6.0281266842180335E-4</v>
      </c>
      <c r="N482">
        <v>5.3789454804798797E-2</v>
      </c>
      <c r="O482">
        <v>7.5931800864712318E-3</v>
      </c>
      <c r="P482">
        <v>1.6448358656200521E-2</v>
      </c>
      <c r="Q482">
        <v>4.3523969965708956E-4</v>
      </c>
      <c r="R482">
        <v>6.010410113245141E-4</v>
      </c>
      <c r="S482">
        <v>5.689453649652372E-2</v>
      </c>
      <c r="T482">
        <v>1.0607811679606767</v>
      </c>
      <c r="U482">
        <v>0</v>
      </c>
      <c r="V482">
        <v>9.7253782901428887E-2</v>
      </c>
      <c r="W482">
        <v>3.554643233112266E-2</v>
      </c>
      <c r="X482">
        <v>7.4382290307992132E-3</v>
      </c>
      <c r="Y482">
        <v>1.6358354997091935E-3</v>
      </c>
    </row>
    <row r="483" spans="1:25" x14ac:dyDescent="0.25">
      <c r="A483" s="1096"/>
      <c r="B483" s="1455">
        <v>233</v>
      </c>
      <c r="C483" s="1100">
        <v>1.0118546374908424</v>
      </c>
      <c r="D483" s="1100">
        <v>1.0097956966550738</v>
      </c>
      <c r="E483" s="1100">
        <v>1.0418328838469677</v>
      </c>
      <c r="F483" s="1100">
        <v>0.98983176450636889</v>
      </c>
      <c r="G483" s="1100">
        <v>0.97975632388660272</v>
      </c>
      <c r="H483" s="1100">
        <v>0.99051944505637102</v>
      </c>
      <c r="I483" s="1100">
        <v>0.97787168685000125</v>
      </c>
      <c r="K483">
        <v>1.3012508192735768</v>
      </c>
      <c r="L483">
        <v>0</v>
      </c>
      <c r="M483">
        <v>5.3719905862634795E-4</v>
      </c>
      <c r="N483">
        <v>5.6039913885407425E-2</v>
      </c>
      <c r="O483">
        <v>7.6512972389291643E-3</v>
      </c>
      <c r="P483">
        <v>1.6527778048586243E-2</v>
      </c>
      <c r="Q483">
        <v>4.6179413039028751E-4</v>
      </c>
      <c r="R483">
        <v>5.3559870464125602E-4</v>
      </c>
      <c r="S483">
        <v>5.7991540912758974E-2</v>
      </c>
      <c r="T483">
        <v>1.020674524232478</v>
      </c>
      <c r="U483">
        <v>0</v>
      </c>
      <c r="V483">
        <v>9.6496214748066009E-2</v>
      </c>
      <c r="W483">
        <v>3.5924920897228749E-2</v>
      </c>
      <c r="X483">
        <v>8.0267124197488087E-3</v>
      </c>
      <c r="Y483">
        <v>1.4577231139679657E-3</v>
      </c>
    </row>
    <row r="484" spans="1:25" x14ac:dyDescent="0.25">
      <c r="A484" s="1096"/>
      <c r="B484" s="1455">
        <v>234</v>
      </c>
      <c r="C484" s="1100">
        <v>0.99231937533101355</v>
      </c>
      <c r="D484" s="1100">
        <v>0.98397702470087778</v>
      </c>
      <c r="E484" s="1100">
        <v>0.99250728853605175</v>
      </c>
      <c r="F484" s="1100">
        <v>1.0208022798965302</v>
      </c>
      <c r="G484" s="1100">
        <v>1.0257771719719424</v>
      </c>
      <c r="H484" s="1100">
        <v>1.0098495894547537</v>
      </c>
      <c r="I484" s="1100">
        <v>1.020730802292618</v>
      </c>
      <c r="K484">
        <v>1.3437451398958937</v>
      </c>
      <c r="L484">
        <v>0</v>
      </c>
      <c r="M484">
        <v>6.2523989996972362E-4</v>
      </c>
      <c r="N484">
        <v>5.6207622068745411E-2</v>
      </c>
      <c r="O484">
        <v>7.8708618668298352E-3</v>
      </c>
      <c r="P484">
        <v>1.6498565498488615E-2</v>
      </c>
      <c r="Q484">
        <v>4.5227755940515122E-4</v>
      </c>
      <c r="R484">
        <v>6.2341291989868744E-4</v>
      </c>
      <c r="S484">
        <v>6.3150724702424457E-2</v>
      </c>
      <c r="T484">
        <v>1.05408314490019</v>
      </c>
      <c r="U484">
        <v>0</v>
      </c>
      <c r="V484">
        <v>9.914970330391891E-2</v>
      </c>
      <c r="W484">
        <v>3.7089877853206839E-2</v>
      </c>
      <c r="X484">
        <v>7.5474646628031434E-3</v>
      </c>
      <c r="Y484">
        <v>1.6967244599504141E-3</v>
      </c>
    </row>
    <row r="485" spans="1:25" x14ac:dyDescent="0.25">
      <c r="A485" s="1096"/>
      <c r="B485" s="1455">
        <v>235</v>
      </c>
      <c r="C485" s="1100">
        <v>0.97533218805326238</v>
      </c>
      <c r="D485" s="1100">
        <v>0.98957420384356065</v>
      </c>
      <c r="E485" s="1100">
        <v>1.0018594497636464</v>
      </c>
      <c r="F485" s="1100">
        <v>0.9661900380789944</v>
      </c>
      <c r="G485" s="1100">
        <v>1.0337849131453614</v>
      </c>
      <c r="H485" s="1100">
        <v>1.0241547979462606</v>
      </c>
      <c r="I485" s="1100">
        <v>0.98827315344964928</v>
      </c>
      <c r="K485">
        <v>1.2900380945379664</v>
      </c>
      <c r="L485">
        <v>0</v>
      </c>
      <c r="M485">
        <v>6.3131754021052155E-4</v>
      </c>
      <c r="N485">
        <v>5.8383166268947982E-2</v>
      </c>
      <c r="O485">
        <v>7.9921613994434152E-3</v>
      </c>
      <c r="P485">
        <v>1.5842605477052366E-2</v>
      </c>
      <c r="Q485">
        <v>4.6359207324955326E-4</v>
      </c>
      <c r="R485">
        <v>6.2949856797486607E-4</v>
      </c>
      <c r="S485">
        <v>6.2472509344538955E-2</v>
      </c>
      <c r="T485">
        <v>0.99742068368554027</v>
      </c>
      <c r="U485">
        <v>0</v>
      </c>
      <c r="V485">
        <v>9.9982620595921265E-2</v>
      </c>
      <c r="W485">
        <v>3.8311439009311991E-2</v>
      </c>
      <c r="X485">
        <v>7.4578480683129738E-3</v>
      </c>
      <c r="Y485">
        <v>1.7132875878804236E-3</v>
      </c>
    </row>
    <row r="486" spans="1:25" x14ac:dyDescent="0.25">
      <c r="A486" s="1096"/>
      <c r="B486" s="1455">
        <v>236</v>
      </c>
      <c r="C486" s="1100">
        <v>0.99485536124090723</v>
      </c>
      <c r="D486" s="1100">
        <v>0.9936812528082084</v>
      </c>
      <c r="E486" s="1100">
        <v>1.0128216040459432</v>
      </c>
      <c r="F486" s="1100">
        <v>0.9928438378226524</v>
      </c>
      <c r="G486" s="1100">
        <v>1.0386880093902497</v>
      </c>
      <c r="H486" s="1100">
        <v>0.98565332791639337</v>
      </c>
      <c r="I486" s="1100">
        <v>0.97376569791378098</v>
      </c>
      <c r="K486">
        <v>1.3090333158068006</v>
      </c>
      <c r="L486">
        <v>0</v>
      </c>
      <c r="M486">
        <v>5.8129021471189739E-4</v>
      </c>
      <c r="N486">
        <v>5.5559642182283486E-2</v>
      </c>
      <c r="O486">
        <v>7.8250670000007023E-3</v>
      </c>
      <c r="P486">
        <v>1.6295988446634418E-2</v>
      </c>
      <c r="Q486">
        <v>4.5890829563798139E-4</v>
      </c>
      <c r="R486">
        <v>5.7954996072262619E-4</v>
      </c>
      <c r="S486">
        <v>5.907067672420277E-2</v>
      </c>
      <c r="T486">
        <v>1.0246144505581884</v>
      </c>
      <c r="U486">
        <v>0</v>
      </c>
      <c r="V486">
        <v>9.973358986993093E-2</v>
      </c>
      <c r="W486">
        <v>3.6223217835844687E-2</v>
      </c>
      <c r="X486">
        <v>7.6761712035743916E-3</v>
      </c>
      <c r="Y486">
        <v>1.5773439444937815E-3</v>
      </c>
    </row>
    <row r="487" spans="1:25" x14ac:dyDescent="0.25">
      <c r="A487" s="1096"/>
      <c r="B487" s="1455">
        <v>237</v>
      </c>
      <c r="C487" s="1100">
        <v>0.98876758340441251</v>
      </c>
      <c r="D487" s="1100">
        <v>0.9926184729159564</v>
      </c>
      <c r="E487" s="1100">
        <v>1.0092896110132519</v>
      </c>
      <c r="F487" s="1100">
        <v>1.0173214757066105</v>
      </c>
      <c r="G487" s="1100">
        <v>0.9719721929998888</v>
      </c>
      <c r="H487" s="1100">
        <v>0.99742137707490142</v>
      </c>
      <c r="I487" s="1100">
        <v>0.99876916799095772</v>
      </c>
      <c r="K487">
        <v>1.335555528862675</v>
      </c>
      <c r="L487">
        <v>0</v>
      </c>
      <c r="M487">
        <v>5.9646692305232677E-4</v>
      </c>
      <c r="N487">
        <v>5.6407599851320905E-2</v>
      </c>
      <c r="O487">
        <v>7.8757352774498513E-3</v>
      </c>
      <c r="P487">
        <v>1.6591004622880608E-2</v>
      </c>
      <c r="Q487">
        <v>4.6025283828449723E-4</v>
      </c>
      <c r="R487">
        <v>5.9470230177556744E-4</v>
      </c>
      <c r="S487">
        <v>6.1356175604101185E-2</v>
      </c>
      <c r="T487">
        <v>1.049981132610905</v>
      </c>
      <c r="U487">
        <v>0</v>
      </c>
      <c r="V487">
        <v>9.6655276229359252E-2</v>
      </c>
      <c r="W487">
        <v>3.6852671487652526E-2</v>
      </c>
      <c r="X487">
        <v>7.7588613401259731E-3</v>
      </c>
      <c r="Y487">
        <v>1.6185836218720019E-3</v>
      </c>
    </row>
    <row r="488" spans="1:25" x14ac:dyDescent="0.25">
      <c r="A488" s="1096"/>
      <c r="B488" s="1455">
        <v>238</v>
      </c>
      <c r="C488" s="1100">
        <v>0.97550191713764223</v>
      </c>
      <c r="D488" s="1100">
        <v>1.0162070525953013</v>
      </c>
      <c r="E488" s="1100">
        <v>0.9971160467949669</v>
      </c>
      <c r="F488" s="1100">
        <v>1.0172309772395933</v>
      </c>
      <c r="G488" s="1100">
        <v>1.0051208626389909</v>
      </c>
      <c r="H488" s="1100">
        <v>1.0271364989606764</v>
      </c>
      <c r="I488" s="1100">
        <v>0.98687290119293591</v>
      </c>
      <c r="K488">
        <v>1.3401887515524897</v>
      </c>
      <c r="L488">
        <v>0</v>
      </c>
      <c r="M488">
        <v>6.3254890558248577E-4</v>
      </c>
      <c r="N488">
        <v>5.7665159844301178E-2</v>
      </c>
      <c r="O488">
        <v>7.9051478084668798E-3</v>
      </c>
      <c r="P488">
        <v>1.6474507098889372E-2</v>
      </c>
      <c r="Q488">
        <v>4.5636303458762003E-4</v>
      </c>
      <c r="R488">
        <v>6.3073167613816492E-4</v>
      </c>
      <c r="S488">
        <v>6.1580618504288545E-2</v>
      </c>
      <c r="T488">
        <v>1.0502551390577932</v>
      </c>
      <c r="U488">
        <v>0</v>
      </c>
      <c r="V488">
        <v>9.8586157801683255E-2</v>
      </c>
      <c r="W488">
        <v>3.7947152109949096E-2</v>
      </c>
      <c r="X488">
        <v>7.6036798201668931E-3</v>
      </c>
      <c r="Y488">
        <v>1.7166437018069261E-3</v>
      </c>
    </row>
    <row r="489" spans="1:25" x14ac:dyDescent="0.25">
      <c r="A489" s="1096"/>
      <c r="B489" s="1455">
        <v>239</v>
      </c>
      <c r="C489" s="1100">
        <v>0.9870421131212449</v>
      </c>
      <c r="D489" s="1100">
        <v>1.0077447977124152</v>
      </c>
      <c r="E489" s="1100">
        <v>1.0147023787495584</v>
      </c>
      <c r="F489" s="1100">
        <v>1.0112832961088283</v>
      </c>
      <c r="G489" s="1100">
        <v>1.043360275240657</v>
      </c>
      <c r="H489" s="1100">
        <v>0.99405699905328915</v>
      </c>
      <c r="I489" s="1100">
        <v>1.0261123210721197</v>
      </c>
      <c r="K489">
        <v>1.333530263787494</v>
      </c>
      <c r="L489">
        <v>0</v>
      </c>
      <c r="M489">
        <v>5.8528188212826745E-4</v>
      </c>
      <c r="N489">
        <v>5.6261045709901022E-2</v>
      </c>
      <c r="O489">
        <v>7.8432636648775363E-3</v>
      </c>
      <c r="P489">
        <v>1.6633867489603608E-2</v>
      </c>
      <c r="Q489">
        <v>4.6083927081817696E-4</v>
      </c>
      <c r="R489">
        <v>5.8354449095304392E-4</v>
      </c>
      <c r="S489">
        <v>6.2534785930356648E-2</v>
      </c>
      <c r="T489">
        <v>1.0435881295235976</v>
      </c>
      <c r="U489">
        <v>0</v>
      </c>
      <c r="V489">
        <v>0.10015901765402965</v>
      </c>
      <c r="W489">
        <v>3.663997418816041E-2</v>
      </c>
      <c r="X489">
        <v>7.8228620083390203E-3</v>
      </c>
      <c r="Y489">
        <v>1.5882157389844422E-3</v>
      </c>
    </row>
    <row r="490" spans="1:25" x14ac:dyDescent="0.25">
      <c r="A490" s="1096"/>
      <c r="B490" s="1455">
        <v>240</v>
      </c>
      <c r="C490" s="1100">
        <v>1.0155494972444077</v>
      </c>
      <c r="D490" s="1100">
        <v>0.97765077373715026</v>
      </c>
      <c r="E490" s="1100">
        <v>0.9792641115844406</v>
      </c>
      <c r="F490" s="1100">
        <v>0.98783598947862405</v>
      </c>
      <c r="G490" s="1100">
        <v>1.0195255134814696</v>
      </c>
      <c r="H490" s="1100">
        <v>0.98477257792007888</v>
      </c>
      <c r="I490" s="1100">
        <v>1.0117107997715711</v>
      </c>
      <c r="K490">
        <v>1.3003514183176079</v>
      </c>
      <c r="L490">
        <v>0</v>
      </c>
      <c r="M490">
        <v>6.1390427461529499E-4</v>
      </c>
      <c r="N490">
        <v>5.301788566945731E-2</v>
      </c>
      <c r="O490">
        <v>7.707465463240604E-3</v>
      </c>
      <c r="P490">
        <v>1.5836166576533254E-2</v>
      </c>
      <c r="Q490">
        <v>4.369861430720285E-4</v>
      </c>
      <c r="R490">
        <v>6.1206473760892029E-4</v>
      </c>
      <c r="S490">
        <v>6.0590218871627598E-2</v>
      </c>
      <c r="T490">
        <v>1.0204369694281441</v>
      </c>
      <c r="U490">
        <v>0</v>
      </c>
      <c r="V490">
        <v>9.8261375586040672E-2</v>
      </c>
      <c r="W490">
        <v>3.5264628516618421E-2</v>
      </c>
      <c r="X490">
        <v>7.135723151194491E-3</v>
      </c>
      <c r="Y490">
        <v>1.6658384486849546E-3</v>
      </c>
    </row>
    <row r="491" spans="1:25" x14ac:dyDescent="0.25">
      <c r="A491" s="1096"/>
      <c r="B491" s="1455">
        <v>241</v>
      </c>
      <c r="C491" s="1100">
        <v>1.0153707982874516</v>
      </c>
      <c r="D491" s="1100">
        <v>0.99175926861511576</v>
      </c>
      <c r="E491" s="1100">
        <v>1.0009723570335218</v>
      </c>
      <c r="F491" s="1100">
        <v>0.98341662646679662</v>
      </c>
      <c r="G491" s="1100">
        <v>1.0301855179247457</v>
      </c>
      <c r="H491" s="1100">
        <v>0.98524430693460519</v>
      </c>
      <c r="I491" s="1100">
        <v>0.9820781752512453</v>
      </c>
      <c r="K491">
        <v>1.2947626457320671</v>
      </c>
      <c r="L491">
        <v>0</v>
      </c>
      <c r="M491">
        <v>5.8394270133895593E-4</v>
      </c>
      <c r="N491">
        <v>5.3851354153751661E-2</v>
      </c>
      <c r="O491">
        <v>7.6700251267123277E-3</v>
      </c>
      <c r="P491">
        <v>1.6003639627239011E-2</v>
      </c>
      <c r="Q491">
        <v>4.4451005665026267E-4</v>
      </c>
      <c r="R491">
        <v>5.821937806355015E-4</v>
      </c>
      <c r="S491">
        <v>5.8408710901148006E-2</v>
      </c>
      <c r="T491">
        <v>1.0152300254590065</v>
      </c>
      <c r="U491">
        <v>0</v>
      </c>
      <c r="V491">
        <v>9.8805499488173035E-2</v>
      </c>
      <c r="W491">
        <v>3.5356247918183592E-2</v>
      </c>
      <c r="X491">
        <v>7.4098423711416962E-3</v>
      </c>
      <c r="Y491">
        <v>1.5845395507616282E-3</v>
      </c>
    </row>
    <row r="492" spans="1:25" x14ac:dyDescent="0.25">
      <c r="A492" s="1096"/>
      <c r="B492" s="1455">
        <v>242</v>
      </c>
      <c r="C492" s="1100">
        <v>0.99020966792091647</v>
      </c>
      <c r="D492" s="1100">
        <v>1.0061291084411343</v>
      </c>
      <c r="E492" s="1100">
        <v>0.98806210557875696</v>
      </c>
      <c r="F492" s="1100">
        <v>1.0178165586169921</v>
      </c>
      <c r="G492" s="1100">
        <v>0.99632242985145281</v>
      </c>
      <c r="H492" s="1100">
        <v>0.99183473801743927</v>
      </c>
      <c r="I492" s="1100">
        <v>1.0138511980827549</v>
      </c>
      <c r="K492">
        <v>1.3349084441784289</v>
      </c>
      <c r="L492">
        <v>0</v>
      </c>
      <c r="M492">
        <v>6.1558003210023383E-4</v>
      </c>
      <c r="N492">
        <v>5.4597562809144191E-2</v>
      </c>
      <c r="O492">
        <v>7.8166041530667533E-3</v>
      </c>
      <c r="P492">
        <v>1.6363318780464115E-2</v>
      </c>
      <c r="Q492">
        <v>4.4714653993914915E-4</v>
      </c>
      <c r="R492">
        <v>6.1374860756795309E-4</v>
      </c>
      <c r="S492">
        <v>6.1547172889518061E-2</v>
      </c>
      <c r="T492">
        <v>1.0511360614562693</v>
      </c>
      <c r="U492">
        <v>0</v>
      </c>
      <c r="V492">
        <v>9.7773096150238339E-2</v>
      </c>
      <c r="W492">
        <v>3.6123488624214002E-2</v>
      </c>
      <c r="X492">
        <v>7.4354028124804586E-3</v>
      </c>
      <c r="Y492">
        <v>1.6704213876258588E-3</v>
      </c>
    </row>
    <row r="493" spans="1:25" x14ac:dyDescent="0.25">
      <c r="A493" s="1096"/>
      <c r="B493" s="1455">
        <v>243</v>
      </c>
      <c r="C493" s="1100">
        <v>1.0098587264553751</v>
      </c>
      <c r="D493" s="1100">
        <v>0.9683771889524363</v>
      </c>
      <c r="E493" s="1100">
        <v>1.0281409150503693</v>
      </c>
      <c r="F493" s="1100">
        <v>0.9784979409522051</v>
      </c>
      <c r="G493" s="1100">
        <v>1.0293965629666768</v>
      </c>
      <c r="H493" s="1100">
        <v>1.0398269668028277</v>
      </c>
      <c r="I493" s="1100">
        <v>1.0179723299346641</v>
      </c>
      <c r="K493">
        <v>1.3031879683419303</v>
      </c>
      <c r="L493">
        <v>0</v>
      </c>
      <c r="M493">
        <v>5.9124354999699161E-4</v>
      </c>
      <c r="N493">
        <v>5.9193090351300125E-2</v>
      </c>
      <c r="O493">
        <v>7.7925452388300336E-3</v>
      </c>
      <c r="P493">
        <v>1.6316662658776966E-2</v>
      </c>
      <c r="Q493">
        <v>4.6401239856275022E-4</v>
      </c>
      <c r="R493">
        <v>5.8956571535059214E-4</v>
      </c>
      <c r="S493">
        <v>6.3389974408379929E-2</v>
      </c>
      <c r="T493">
        <v>1.0093724327708435</v>
      </c>
      <c r="U493">
        <v>0</v>
      </c>
      <c r="V493">
        <v>9.8931204193554126E-2</v>
      </c>
      <c r="W493">
        <v>3.8247903288769973E-2</v>
      </c>
      <c r="X493">
        <v>7.8772173406605663E-3</v>
      </c>
      <c r="Y493">
        <v>1.6046035268984793E-3</v>
      </c>
    </row>
    <row r="494" spans="1:25" x14ac:dyDescent="0.25">
      <c r="A494" s="1096"/>
      <c r="B494" s="1455">
        <v>244</v>
      </c>
      <c r="C494" s="1100">
        <v>1.0048648401559526</v>
      </c>
      <c r="D494" s="1100">
        <v>1.0163858098630343</v>
      </c>
      <c r="E494" s="1100">
        <v>1.0090871733136324</v>
      </c>
      <c r="F494" s="1100">
        <v>0.98127727991985192</v>
      </c>
      <c r="G494" s="1100">
        <v>0.97901795830170024</v>
      </c>
      <c r="H494" s="1100">
        <v>1.0177069016761224</v>
      </c>
      <c r="I494" s="1100">
        <v>1.0124304217293931</v>
      </c>
      <c r="K494">
        <v>1.2965121769531891</v>
      </c>
      <c r="L494">
        <v>0</v>
      </c>
      <c r="M494">
        <v>5.9345680261383435E-4</v>
      </c>
      <c r="N494">
        <v>5.6091959903235289E-2</v>
      </c>
      <c r="O494">
        <v>7.6765202436858311E-3</v>
      </c>
      <c r="P494">
        <v>1.6072693747986248E-2</v>
      </c>
      <c r="Q494">
        <v>4.4852002707631243E-4</v>
      </c>
      <c r="R494">
        <v>5.9173608259620748E-4</v>
      </c>
      <c r="S494">
        <v>6.1047186692771697E-2</v>
      </c>
      <c r="T494">
        <v>1.012785647707287</v>
      </c>
      <c r="U494">
        <v>0</v>
      </c>
      <c r="V494">
        <v>9.6594349043913064E-2</v>
      </c>
      <c r="W494">
        <v>3.6650832677318022E-2</v>
      </c>
      <c r="X494">
        <v>7.5356770788532782E-3</v>
      </c>
      <c r="Y494">
        <v>1.6105105510796742E-3</v>
      </c>
    </row>
    <row r="495" spans="1:25" x14ac:dyDescent="0.25">
      <c r="A495" s="1096"/>
      <c r="B495" s="1455">
        <v>245</v>
      </c>
      <c r="C495" s="1100">
        <v>1.0010095313758733</v>
      </c>
      <c r="D495" s="1100">
        <v>1.0032243881890159</v>
      </c>
      <c r="E495" s="1100">
        <v>1.0318295019270509</v>
      </c>
      <c r="F495" s="1100">
        <v>1.002300017845708</v>
      </c>
      <c r="G495" s="1100">
        <v>1.0234466699500406</v>
      </c>
      <c r="H495" s="1100">
        <v>1.0165549378849377</v>
      </c>
      <c r="I495" s="1100">
        <v>0.96818754289653119</v>
      </c>
      <c r="K495">
        <v>1.3210829933540476</v>
      </c>
      <c r="L495">
        <v>0</v>
      </c>
      <c r="M495">
        <v>5.7053083798179363E-4</v>
      </c>
      <c r="N495">
        <v>5.7754333329282925E-2</v>
      </c>
      <c r="O495">
        <v>7.7519537415219279E-3</v>
      </c>
      <c r="P495">
        <v>1.6639534792939403E-2</v>
      </c>
      <c r="Q495">
        <v>4.6328182318818034E-4</v>
      </c>
      <c r="R495">
        <v>5.688747168920772E-4</v>
      </c>
      <c r="S495">
        <v>5.9001966789879318E-2</v>
      </c>
      <c r="T495">
        <v>1.0338187796117198</v>
      </c>
      <c r="U495">
        <v>0</v>
      </c>
      <c r="V495">
        <v>9.8864551875476589E-2</v>
      </c>
      <c r="W495">
        <v>3.7238424567916879E-2</v>
      </c>
      <c r="X495">
        <v>8.003533493332363E-3</v>
      </c>
      <c r="Y495">
        <v>1.5482894498802106E-3</v>
      </c>
    </row>
    <row r="496" spans="1:25" x14ac:dyDescent="0.25">
      <c r="A496" s="1096"/>
      <c r="B496" s="1455">
        <v>246</v>
      </c>
      <c r="C496" s="1100">
        <v>0.99424535231419098</v>
      </c>
      <c r="D496" s="1100">
        <v>1.0048984265340049</v>
      </c>
      <c r="E496" s="1100">
        <v>0.9840155549079731</v>
      </c>
      <c r="F496" s="1100">
        <v>1.0052609722670127</v>
      </c>
      <c r="G496" s="1100">
        <v>1.0161801904020129</v>
      </c>
      <c r="H496" s="1100">
        <v>0.97464033767311264</v>
      </c>
      <c r="I496" s="1100">
        <v>1.0163225599424031</v>
      </c>
      <c r="K496">
        <v>1.3197650506097376</v>
      </c>
      <c r="L496">
        <v>0</v>
      </c>
      <c r="M496">
        <v>6.0781751097202627E-4</v>
      </c>
      <c r="N496">
        <v>5.3250557547187945E-2</v>
      </c>
      <c r="O496">
        <v>7.7876935185426533E-3</v>
      </c>
      <c r="P496">
        <v>1.6143721319409464E-2</v>
      </c>
      <c r="Q496">
        <v>4.4367032473208076E-4</v>
      </c>
      <c r="R496">
        <v>6.059772786922474E-4</v>
      </c>
      <c r="S496">
        <v>6.094763784193024E-2</v>
      </c>
      <c r="T496">
        <v>1.0382922275563307</v>
      </c>
      <c r="U496">
        <v>0</v>
      </c>
      <c r="V496">
        <v>9.8627587441879799E-2</v>
      </c>
      <c r="W496">
        <v>3.5318047040666267E-2</v>
      </c>
      <c r="X496">
        <v>7.3064778590947099E-3</v>
      </c>
      <c r="Y496">
        <v>1.6492703922440625E-3</v>
      </c>
    </row>
    <row r="497" spans="1:25" x14ac:dyDescent="0.25">
      <c r="A497" s="1096"/>
      <c r="B497" s="1455">
        <v>247</v>
      </c>
      <c r="C497" s="1100">
        <v>1.0265175777265239</v>
      </c>
      <c r="D497" s="1100">
        <v>1.0204572216418297</v>
      </c>
      <c r="E497" s="1100">
        <v>1.022044786649948</v>
      </c>
      <c r="F497" s="1100">
        <v>0.99321182482542136</v>
      </c>
      <c r="G497" s="1100">
        <v>1.0324434731912502</v>
      </c>
      <c r="H497" s="1100">
        <v>1.0148246216461179</v>
      </c>
      <c r="I497" s="1100">
        <v>1.0076369533800262</v>
      </c>
      <c r="K497">
        <v>1.3075055646216478</v>
      </c>
      <c r="L497">
        <v>0</v>
      </c>
      <c r="M497">
        <v>5.6299335274799251E-4</v>
      </c>
      <c r="N497">
        <v>5.5334172036106924E-2</v>
      </c>
      <c r="O497">
        <v>7.5056702851390954E-3</v>
      </c>
      <c r="P497">
        <v>1.6396463810652333E-2</v>
      </c>
      <c r="Q497">
        <v>4.4423736585464004E-4</v>
      </c>
      <c r="R497">
        <v>5.6135632481475305E-4</v>
      </c>
      <c r="S497">
        <v>5.9276280204303033E-2</v>
      </c>
      <c r="T497">
        <v>1.0247262934351942</v>
      </c>
      <c r="U497">
        <v>0</v>
      </c>
      <c r="V497">
        <v>9.8673315675359682E-2</v>
      </c>
      <c r="W497">
        <v>3.5881681425078048E-2</v>
      </c>
      <c r="X497">
        <v>7.7412605468083016E-3</v>
      </c>
      <c r="Y497">
        <v>1.5278268650830162E-3</v>
      </c>
    </row>
    <row r="498" spans="1:25" x14ac:dyDescent="0.25">
      <c r="A498" s="1096"/>
      <c r="B498" s="1455">
        <v>248</v>
      </c>
      <c r="C498" s="1100">
        <v>0.97748400893422105</v>
      </c>
      <c r="D498" s="1100">
        <v>1.0197440774052879</v>
      </c>
      <c r="E498" s="1100">
        <v>0.98864749285537656</v>
      </c>
      <c r="F498" s="1100">
        <v>0.95611201921257172</v>
      </c>
      <c r="G498" s="1100">
        <v>1.0264746326573713</v>
      </c>
      <c r="H498" s="1100">
        <v>0.96739714593022408</v>
      </c>
      <c r="I498" s="1100">
        <v>0.99576512328699029</v>
      </c>
      <c r="K498">
        <v>1.2688134636449202</v>
      </c>
      <c r="L498">
        <v>0</v>
      </c>
      <c r="M498">
        <v>6.042353490979637E-4</v>
      </c>
      <c r="N498">
        <v>5.3682269248867064E-2</v>
      </c>
      <c r="O498">
        <v>7.8760534918368968E-3</v>
      </c>
      <c r="P498">
        <v>1.5512344199305479E-2</v>
      </c>
      <c r="Q498">
        <v>4.5081422846752117E-4</v>
      </c>
      <c r="R498">
        <v>6.0239226502810947E-4</v>
      </c>
      <c r="S498">
        <v>6.0042654186845554E-2</v>
      </c>
      <c r="T498">
        <v>0.98739469254791712</v>
      </c>
      <c r="U498">
        <v>0</v>
      </c>
      <c r="V498">
        <v>9.9558081934464887E-2</v>
      </c>
      <c r="W498">
        <v>3.5505431672831177E-2</v>
      </c>
      <c r="X498">
        <v>7.153452051604039E-3</v>
      </c>
      <c r="Y498">
        <v>1.6395131668497168E-3</v>
      </c>
    </row>
    <row r="499" spans="1:25" x14ac:dyDescent="0.25">
      <c r="A499" s="1096"/>
      <c r="B499" s="1455">
        <v>249</v>
      </c>
      <c r="C499" s="1100">
        <v>0.98835723682144216</v>
      </c>
      <c r="D499" s="1100">
        <v>1.0122646793912211</v>
      </c>
      <c r="E499" s="1100">
        <v>1.0084244500933293</v>
      </c>
      <c r="F499" s="1100">
        <v>0.99698137650841046</v>
      </c>
      <c r="G499" s="1100">
        <v>1.0038158482210291</v>
      </c>
      <c r="H499" s="1100">
        <v>1.0279103256235114</v>
      </c>
      <c r="I499" s="1100">
        <v>0.99521880259597295</v>
      </c>
      <c r="K499">
        <v>1.3179239824260884</v>
      </c>
      <c r="L499">
        <v>0</v>
      </c>
      <c r="M499">
        <v>6.1125011917740062E-4</v>
      </c>
      <c r="N499">
        <v>5.7659914848742472E-2</v>
      </c>
      <c r="O499">
        <v>7.8172642955764635E-3</v>
      </c>
      <c r="P499">
        <v>1.6315265145352396E-2</v>
      </c>
      <c r="Q499">
        <v>4.564406600973422E-4</v>
      </c>
      <c r="R499">
        <v>6.0949540030728259E-4</v>
      </c>
      <c r="S499">
        <v>6.1455929391111427E-2</v>
      </c>
      <c r="T499">
        <v>1.0290134900164676</v>
      </c>
      <c r="U499">
        <v>0</v>
      </c>
      <c r="V499">
        <v>9.8205301718253396E-2</v>
      </c>
      <c r="W499">
        <v>3.7690084662739369E-2</v>
      </c>
      <c r="X499">
        <v>7.6532008470854883E-3</v>
      </c>
      <c r="Y499">
        <v>1.6588455595317104E-3</v>
      </c>
    </row>
    <row r="500" spans="1:25" x14ac:dyDescent="0.25">
      <c r="A500" s="1096"/>
      <c r="B500" s="1455">
        <v>250</v>
      </c>
      <c r="C500" s="1100">
        <v>1.003792812654049</v>
      </c>
      <c r="D500" s="1100">
        <v>1.0261475001713067</v>
      </c>
      <c r="E500" s="1100">
        <v>1.0005001267942593</v>
      </c>
      <c r="F500" s="1100">
        <v>0.99112613868775234</v>
      </c>
      <c r="G500" s="1100">
        <v>0.98865410130988773</v>
      </c>
      <c r="H500" s="1100">
        <v>0.98243339097706417</v>
      </c>
      <c r="I500" s="1100">
        <v>0.9890606775730697</v>
      </c>
      <c r="K500">
        <v>1.3005314156946988</v>
      </c>
      <c r="L500">
        <v>0</v>
      </c>
      <c r="M500">
        <v>5.8158614943527203E-4</v>
      </c>
      <c r="N500">
        <v>5.35571104908023E-2</v>
      </c>
      <c r="O500">
        <v>7.6533130507264457E-3</v>
      </c>
      <c r="P500">
        <v>1.608224350074066E-2</v>
      </c>
      <c r="Q500">
        <v>4.433311190655114E-4</v>
      </c>
      <c r="R500">
        <v>5.7983930287649349E-4</v>
      </c>
      <c r="S500">
        <v>5.8338872015357271E-2</v>
      </c>
      <c r="T500">
        <v>1.0232028603675896</v>
      </c>
      <c r="U500">
        <v>0</v>
      </c>
      <c r="V500">
        <v>9.7077330696465916E-2</v>
      </c>
      <c r="W500">
        <v>3.5172926256817796E-2</v>
      </c>
      <c r="X500">
        <v>7.4270436052351115E-3</v>
      </c>
      <c r="Y500">
        <v>1.5781314384549934E-3</v>
      </c>
    </row>
    <row r="501" spans="1:25" x14ac:dyDescent="0.25">
      <c r="A501" s="1096"/>
      <c r="B501" s="1455">
        <v>251</v>
      </c>
      <c r="C501" s="1100">
        <v>1.0247931601435074</v>
      </c>
      <c r="D501" s="1100">
        <v>0.99806149540441957</v>
      </c>
      <c r="E501" s="1100">
        <v>1.0202379769208769</v>
      </c>
      <c r="F501" s="1100">
        <v>0.99444265354945827</v>
      </c>
      <c r="G501" s="1100">
        <v>1.0275017357724032</v>
      </c>
      <c r="H501" s="1100">
        <v>0.96104382548277523</v>
      </c>
      <c r="I501" s="1100">
        <v>1.025405819990344</v>
      </c>
      <c r="K501">
        <v>1.3047965082962969</v>
      </c>
      <c r="L501">
        <v>0</v>
      </c>
      <c r="M501">
        <v>5.4084595842380872E-4</v>
      </c>
      <c r="N501">
        <v>5.2859837481897591E-2</v>
      </c>
      <c r="O501">
        <v>7.5848985498318576E-3</v>
      </c>
      <c r="P501">
        <v>1.6393388215231199E-2</v>
      </c>
      <c r="Q501">
        <v>4.4812149547439009E-4</v>
      </c>
      <c r="R501">
        <v>5.3918532331955372E-4</v>
      </c>
      <c r="S501">
        <v>5.9498005438372706E-2</v>
      </c>
      <c r="T501">
        <v>1.0260485289113614</v>
      </c>
      <c r="U501">
        <v>0</v>
      </c>
      <c r="V501">
        <v>9.8472822012572139E-2</v>
      </c>
      <c r="W501">
        <v>3.4313408903799407E-2</v>
      </c>
      <c r="X501">
        <v>7.711673215178883E-3</v>
      </c>
      <c r="Y501">
        <v>1.4674847076817622E-3</v>
      </c>
    </row>
    <row r="502" spans="1:25" x14ac:dyDescent="0.25">
      <c r="A502" s="1096"/>
      <c r="B502" s="1455">
        <v>252</v>
      </c>
      <c r="C502" s="1100">
        <v>0.99621110218217723</v>
      </c>
      <c r="D502" s="1100">
        <v>0.98547247088609657</v>
      </c>
      <c r="E502" s="1100">
        <v>0.96580629139599283</v>
      </c>
      <c r="F502" s="1100">
        <v>0.98356203035985379</v>
      </c>
      <c r="G502" s="1100">
        <v>0.96291440572820852</v>
      </c>
      <c r="H502" s="1100">
        <v>0.97136095405405709</v>
      </c>
      <c r="I502" s="1100">
        <v>1.0116498184184626</v>
      </c>
      <c r="K502">
        <v>1.293625765960829</v>
      </c>
      <c r="L502">
        <v>0</v>
      </c>
      <c r="M502">
        <v>6.3267660456912229E-4</v>
      </c>
      <c r="N502">
        <v>5.2455597387108609E-2</v>
      </c>
      <c r="O502">
        <v>7.828757317038984E-3</v>
      </c>
      <c r="P502">
        <v>1.5596729245124057E-2</v>
      </c>
      <c r="Q502">
        <v>4.3780794729516925E-4</v>
      </c>
      <c r="R502">
        <v>6.3075464188456695E-4</v>
      </c>
      <c r="S502">
        <v>6.1067104957805422E-2</v>
      </c>
      <c r="T502">
        <v>1.0164268236619538</v>
      </c>
      <c r="U502">
        <v>0</v>
      </c>
      <c r="V502">
        <v>9.5981926092177455E-2</v>
      </c>
      <c r="W502">
        <v>3.5177005497727142E-2</v>
      </c>
      <c r="X502">
        <v>6.939229610283917E-3</v>
      </c>
      <c r="Y502">
        <v>1.7167062069979758E-3</v>
      </c>
    </row>
    <row r="503" spans="1:25" x14ac:dyDescent="0.25">
      <c r="A503" s="1096"/>
      <c r="B503" s="1455">
        <v>253</v>
      </c>
      <c r="C503" s="1100">
        <v>1.0139870419291741</v>
      </c>
      <c r="D503" s="1100">
        <v>0.98395373779809636</v>
      </c>
      <c r="E503" s="1100">
        <v>0.98984727261936034</v>
      </c>
      <c r="F503" s="1100">
        <v>1.0105146888570233</v>
      </c>
      <c r="G503" s="1100">
        <v>1.0046029234213951</v>
      </c>
      <c r="H503" s="1100">
        <v>1.0330241313192405</v>
      </c>
      <c r="I503" s="1100">
        <v>1.0051599659837036</v>
      </c>
      <c r="K503">
        <v>1.3294621146152237</v>
      </c>
      <c r="L503">
        <v>0</v>
      </c>
      <c r="M503">
        <v>6.2938536118490435E-4</v>
      </c>
      <c r="N503">
        <v>5.6130802813053118E-2</v>
      </c>
      <c r="O503">
        <v>7.7020968298705137E-3</v>
      </c>
      <c r="P503">
        <v>1.6280253376962494E-2</v>
      </c>
      <c r="Q503">
        <v>4.4139236741637974E-4</v>
      </c>
      <c r="R503">
        <v>6.2758752553013393E-4</v>
      </c>
      <c r="S503">
        <v>6.1562599171920536E-2</v>
      </c>
      <c r="T503">
        <v>1.0435408667789388</v>
      </c>
      <c r="U503">
        <v>0</v>
      </c>
      <c r="V503">
        <v>9.7588848375992368E-2</v>
      </c>
      <c r="W503">
        <v>3.7098201325982384E-2</v>
      </c>
      <c r="X503">
        <v>7.4107650504210767E-3</v>
      </c>
      <c r="Y503">
        <v>1.7080863603208347E-3</v>
      </c>
    </row>
    <row r="504" spans="1:25" x14ac:dyDescent="0.25">
      <c r="A504" s="1096"/>
      <c r="B504" s="1455">
        <v>254</v>
      </c>
      <c r="C504" s="1100">
        <v>1.0126792665342892</v>
      </c>
      <c r="D504" s="1100">
        <v>0.97609812982692201</v>
      </c>
      <c r="E504" s="1100">
        <v>1.0315662876304605</v>
      </c>
      <c r="F504" s="1100">
        <v>0.96976332581808089</v>
      </c>
      <c r="G504" s="1100">
        <v>1.0108015198834843</v>
      </c>
      <c r="H504" s="1100">
        <v>1.0208617345679705</v>
      </c>
      <c r="I504" s="1100">
        <v>1.0224038485735463</v>
      </c>
      <c r="K504">
        <v>1.2900059299579631</v>
      </c>
      <c r="L504">
        <v>0</v>
      </c>
      <c r="M504">
        <v>5.72903652885578E-4</v>
      </c>
      <c r="N504">
        <v>5.7949249551043101E-2</v>
      </c>
      <c r="O504">
        <v>7.7470378582108193E-3</v>
      </c>
      <c r="P504">
        <v>1.6206158187139823E-2</v>
      </c>
      <c r="Q504">
        <v>4.628676746351308E-4</v>
      </c>
      <c r="R504">
        <v>5.7124765993212391E-4</v>
      </c>
      <c r="S504">
        <v>6.2632550822753638E-2</v>
      </c>
      <c r="T504">
        <v>1.0002662824267596</v>
      </c>
      <c r="U504">
        <v>0</v>
      </c>
      <c r="V504">
        <v>9.7966943577431811E-2</v>
      </c>
      <c r="W504">
        <v>3.7369802928258852E-2</v>
      </c>
      <c r="X504">
        <v>7.851945106087466E-3</v>
      </c>
      <c r="Y504">
        <v>1.5547478185947549E-3</v>
      </c>
    </row>
    <row r="505" spans="1:25" x14ac:dyDescent="0.25">
      <c r="A505" s="1096"/>
      <c r="B505" s="1455">
        <v>255</v>
      </c>
      <c r="C505" s="1100">
        <v>1.0240695047412542</v>
      </c>
      <c r="D505" s="1100">
        <v>0.99522777739792545</v>
      </c>
      <c r="E505" s="1100">
        <v>1.0253665558035785</v>
      </c>
      <c r="F505" s="1100">
        <v>1.0076347803905052</v>
      </c>
      <c r="G505" s="1100">
        <v>1.0082354043522395</v>
      </c>
      <c r="H505" s="1100">
        <v>0.99992846051834128</v>
      </c>
      <c r="I505" s="1100">
        <v>1.017673202935478</v>
      </c>
      <c r="K505">
        <v>1.3227342114535923</v>
      </c>
      <c r="L505">
        <v>0</v>
      </c>
      <c r="M505">
        <v>5.5778109758566289E-4</v>
      </c>
      <c r="N505">
        <v>5.537146091944712E-2</v>
      </c>
      <c r="O505">
        <v>7.6001317125944465E-3</v>
      </c>
      <c r="P505">
        <v>1.6641503673979863E-2</v>
      </c>
      <c r="Q505">
        <v>4.5131314086042874E-4</v>
      </c>
      <c r="R505">
        <v>5.5613506404203711E-4</v>
      </c>
      <c r="S505">
        <v>6.0369300056440936E-2</v>
      </c>
      <c r="T505">
        <v>1.0395096154080952</v>
      </c>
      <c r="U505">
        <v>0</v>
      </c>
      <c r="V505">
        <v>9.7563485983780507E-2</v>
      </c>
      <c r="W505">
        <v>3.583635199452178E-2</v>
      </c>
      <c r="X505">
        <v>7.8790782829664726E-3</v>
      </c>
      <c r="Y505">
        <v>1.5136163144478347E-3</v>
      </c>
    </row>
    <row r="506" spans="1:25" x14ac:dyDescent="0.25">
      <c r="A506" s="1096"/>
      <c r="B506" s="1455">
        <v>256</v>
      </c>
      <c r="C506" s="1100">
        <v>0.99001610456608335</v>
      </c>
      <c r="D506" s="1100">
        <v>0.97924000651783827</v>
      </c>
      <c r="E506" s="1100">
        <v>0.99417822809256062</v>
      </c>
      <c r="F506" s="1100">
        <v>0.98464718129570006</v>
      </c>
      <c r="G506" s="1100">
        <v>1.0006465040447543</v>
      </c>
      <c r="H506" s="1100">
        <v>0.99971302375411175</v>
      </c>
      <c r="I506" s="1100">
        <v>1.0305798757032141</v>
      </c>
      <c r="K506">
        <v>1.3047493225925026</v>
      </c>
      <c r="L506">
        <v>0</v>
      </c>
      <c r="M506">
        <v>6.1945413592130749E-4</v>
      </c>
      <c r="N506">
        <v>5.5967806565222412E-2</v>
      </c>
      <c r="O506">
        <v>7.9048340513708081E-3</v>
      </c>
      <c r="P506">
        <v>1.6004072410777819E-2</v>
      </c>
      <c r="Q506">
        <v>4.5499606401052555E-4</v>
      </c>
      <c r="R506">
        <v>6.1762570892302565E-4</v>
      </c>
      <c r="S506">
        <v>6.3750827486254269E-2</v>
      </c>
      <c r="T506">
        <v>1.0166999952958644</v>
      </c>
      <c r="U506">
        <v>0</v>
      </c>
      <c r="V506">
        <v>9.7993983418957695E-2</v>
      </c>
      <c r="W506">
        <v>3.6894777773702446E-2</v>
      </c>
      <c r="X506">
        <v>7.398884373911555E-3</v>
      </c>
      <c r="Y506">
        <v>1.6809735794282479E-3</v>
      </c>
    </row>
    <row r="507" spans="1:25" x14ac:dyDescent="0.25">
      <c r="A507" s="1096"/>
      <c r="B507" s="1455">
        <v>257</v>
      </c>
      <c r="C507" s="1100">
        <v>0.9924864406875924</v>
      </c>
      <c r="D507" s="1100">
        <v>1.0077752524926737</v>
      </c>
      <c r="E507" s="1100">
        <v>0.98433375086149144</v>
      </c>
      <c r="F507" s="1100">
        <v>1.0207551440415126</v>
      </c>
      <c r="G507" s="1100">
        <v>0.98070081915332252</v>
      </c>
      <c r="H507" s="1100">
        <v>0.98680022849703641</v>
      </c>
      <c r="I507" s="1100">
        <v>1.0096583138418873</v>
      </c>
      <c r="K507">
        <v>1.3355612373475056</v>
      </c>
      <c r="L507">
        <v>0</v>
      </c>
      <c r="M507">
        <v>6.1538160020520565E-4</v>
      </c>
      <c r="N507">
        <v>5.3967176847651337E-2</v>
      </c>
      <c r="O507">
        <v>7.7926575459209375E-3</v>
      </c>
      <c r="P507">
        <v>1.6340526850019847E-2</v>
      </c>
      <c r="Q507">
        <v>4.4409639951428629E-4</v>
      </c>
      <c r="R507">
        <v>6.135414253851698E-4</v>
      </c>
      <c r="S507">
        <v>6.093886940457905E-2</v>
      </c>
      <c r="T507">
        <v>1.0542856916224128</v>
      </c>
      <c r="U507">
        <v>0</v>
      </c>
      <c r="V507">
        <v>9.6955902029665322E-2</v>
      </c>
      <c r="W507">
        <v>3.5786485849910246E-2</v>
      </c>
      <c r="X507">
        <v>7.3818134666308217E-3</v>
      </c>
      <c r="Y507">
        <v>1.6698575060219113E-3</v>
      </c>
    </row>
    <row r="508" spans="1:25" x14ac:dyDescent="0.25">
      <c r="A508" s="1096"/>
      <c r="B508" s="1455">
        <v>258</v>
      </c>
      <c r="C508" s="1100">
        <v>0.95884744486226847</v>
      </c>
      <c r="D508" s="1100">
        <v>0.9962043772451642</v>
      </c>
      <c r="E508" s="1100">
        <v>0.99996067222083229</v>
      </c>
      <c r="F508" s="1100">
        <v>1.0003618277245143</v>
      </c>
      <c r="G508" s="1100">
        <v>0.97227836381774002</v>
      </c>
      <c r="H508" s="1100">
        <v>0.98986347276707964</v>
      </c>
      <c r="I508" s="1100">
        <v>1.0119792434035255</v>
      </c>
      <c r="K508">
        <v>1.3227481366297158</v>
      </c>
      <c r="L508">
        <v>0</v>
      </c>
      <c r="M508">
        <v>6.2145735737790132E-4</v>
      </c>
      <c r="N508">
        <v>5.7136868277661984E-2</v>
      </c>
      <c r="O508">
        <v>8.1073920236109358E-3</v>
      </c>
      <c r="P508">
        <v>1.6284575845279054E-2</v>
      </c>
      <c r="Q508">
        <v>4.6937985545444363E-4</v>
      </c>
      <c r="R508">
        <v>6.1960476508156142E-4</v>
      </c>
      <c r="S508">
        <v>6.3730072295080098E-2</v>
      </c>
      <c r="T508">
        <v>1.0327535114740136</v>
      </c>
      <c r="U508">
        <v>0</v>
      </c>
      <c r="V508">
        <v>9.7441816906691653E-2</v>
      </c>
      <c r="W508">
        <v>3.7535915723024268E-2</v>
      </c>
      <c r="X508">
        <v>7.6040969032985404E-3</v>
      </c>
      <c r="Y508">
        <v>1.6863599178960958E-3</v>
      </c>
    </row>
    <row r="509" spans="1:25" x14ac:dyDescent="0.25">
      <c r="A509" s="1096"/>
      <c r="B509" s="1455">
        <v>259</v>
      </c>
      <c r="C509" s="1100">
        <v>1.0269877323441907</v>
      </c>
      <c r="D509" s="1100">
        <v>0.98229597324768592</v>
      </c>
      <c r="E509" s="1100">
        <v>1.0017651739536353</v>
      </c>
      <c r="F509" s="1100">
        <v>0.98257211991112114</v>
      </c>
      <c r="G509" s="1100">
        <v>1.0315949229588246</v>
      </c>
      <c r="H509" s="1100">
        <v>1.0072159597155836</v>
      </c>
      <c r="I509" s="1100">
        <v>0.99261896779193903</v>
      </c>
      <c r="K509">
        <v>1.2959089210627168</v>
      </c>
      <c r="L509">
        <v>0</v>
      </c>
      <c r="M509">
        <v>5.9150647854676645E-4</v>
      </c>
      <c r="N509">
        <v>5.4683273711085438E-2</v>
      </c>
      <c r="O509">
        <v>7.6125937244273002E-3</v>
      </c>
      <c r="P509">
        <v>1.6010544289026731E-2</v>
      </c>
      <c r="Q509">
        <v>4.4153312810228402E-4</v>
      </c>
      <c r="R509">
        <v>5.8977354972339531E-4</v>
      </c>
      <c r="S509">
        <v>5.9323411923325693E-2</v>
      </c>
      <c r="T509">
        <v>1.014335043994105</v>
      </c>
      <c r="U509">
        <v>0</v>
      </c>
      <c r="V509">
        <v>9.859847124588611E-2</v>
      </c>
      <c r="W509">
        <v>3.588555164990935E-2</v>
      </c>
      <c r="X509">
        <v>7.415061142123037E-3</v>
      </c>
      <c r="Y509">
        <v>1.6051691835486665E-3</v>
      </c>
    </row>
    <row r="510" spans="1:25" x14ac:dyDescent="0.25">
      <c r="A510" s="1096"/>
      <c r="B510" s="1455">
        <v>260</v>
      </c>
      <c r="C510" s="1100">
        <v>0.98485124567097659</v>
      </c>
      <c r="D510" s="1100">
        <v>1.0017938538159945</v>
      </c>
      <c r="E510" s="1100">
        <v>1.0039665255121983</v>
      </c>
      <c r="F510" s="1100">
        <v>0.99966485177401265</v>
      </c>
      <c r="G510" s="1100">
        <v>0.95773270248510967</v>
      </c>
      <c r="H510" s="1100">
        <v>1.0377360284295145</v>
      </c>
      <c r="I510" s="1100">
        <v>0.99906873735743484</v>
      </c>
      <c r="K510">
        <v>1.3211716513977707</v>
      </c>
      <c r="L510">
        <v>0</v>
      </c>
      <c r="M510">
        <v>6.2765360848786908E-4</v>
      </c>
      <c r="N510">
        <v>5.8417146405644375E-2</v>
      </c>
      <c r="O510">
        <v>7.8766784404149873E-3</v>
      </c>
      <c r="P510">
        <v>1.6286806206079567E-2</v>
      </c>
      <c r="Q510">
        <v>4.5786054570507334E-4</v>
      </c>
      <c r="R510">
        <v>6.2586886028471512E-4</v>
      </c>
      <c r="S510">
        <v>6.2557860644762445E-2</v>
      </c>
      <c r="T510">
        <v>1.0319150070608574</v>
      </c>
      <c r="U510">
        <v>0</v>
      </c>
      <c r="V510">
        <v>9.6060141229169616E-2</v>
      </c>
      <c r="W510">
        <v>3.8285870653689269E-2</v>
      </c>
      <c r="X510">
        <v>7.6126562395711301E-3</v>
      </c>
      <c r="Y510">
        <v>1.7034087200806507E-3</v>
      </c>
    </row>
    <row r="511" spans="1:25" x14ac:dyDescent="0.25">
      <c r="A511" s="1096"/>
      <c r="B511" s="1455">
        <v>261</v>
      </c>
      <c r="C511" s="1100">
        <v>1.0231570957788119</v>
      </c>
      <c r="D511" s="1100">
        <v>0.99036611319503665</v>
      </c>
      <c r="E511" s="1100">
        <v>1.0436590699621124</v>
      </c>
      <c r="F511" s="1100">
        <v>0.96925582679220268</v>
      </c>
      <c r="G511" s="1100">
        <v>1.0063531505323522</v>
      </c>
      <c r="H511" s="1100">
        <v>0.99494594111514401</v>
      </c>
      <c r="I511" s="1100">
        <v>0.97867862770784197</v>
      </c>
      <c r="K511">
        <v>1.2809984394290865</v>
      </c>
      <c r="L511">
        <v>0</v>
      </c>
      <c r="M511">
        <v>5.3575578551397695E-4</v>
      </c>
      <c r="N511">
        <v>5.6198340758102067E-2</v>
      </c>
      <c r="O511">
        <v>7.6262525687496368E-3</v>
      </c>
      <c r="P511">
        <v>1.626631470147491E-2</v>
      </c>
      <c r="Q511">
        <v>4.6110857455976988E-4</v>
      </c>
      <c r="R511">
        <v>5.3416683195788473E-4</v>
      </c>
      <c r="S511">
        <v>5.8131828451252983E-2</v>
      </c>
      <c r="T511">
        <v>0.99940700251609293</v>
      </c>
      <c r="U511">
        <v>0</v>
      </c>
      <c r="V511">
        <v>9.7514565546499427E-2</v>
      </c>
      <c r="W511">
        <v>3.5988691216684625E-2</v>
      </c>
      <c r="X511">
        <v>7.9520980206838985E-3</v>
      </c>
      <c r="Y511">
        <v>1.453826028540532E-3</v>
      </c>
    </row>
    <row r="512" spans="1:25" x14ac:dyDescent="0.25">
      <c r="A512" s="1096"/>
      <c r="B512" s="1455">
        <v>262</v>
      </c>
      <c r="C512" s="1100">
        <v>1.0326681731798724</v>
      </c>
      <c r="D512" s="1100">
        <v>1.0245655828755296</v>
      </c>
      <c r="E512" s="1100">
        <v>1.0335187752274972</v>
      </c>
      <c r="F512" s="1100">
        <v>0.99608248108837971</v>
      </c>
      <c r="G512" s="1100">
        <v>1.0061115322259162</v>
      </c>
      <c r="H512" s="1100">
        <v>0.97880023606324873</v>
      </c>
      <c r="I512" s="1100">
        <v>1.0290874755909258</v>
      </c>
      <c r="K512">
        <v>1.3053585804385257</v>
      </c>
      <c r="L512">
        <v>0</v>
      </c>
      <c r="M512">
        <v>5.2617926184629973E-4</v>
      </c>
      <c r="N512">
        <v>5.3530536005350161E-2</v>
      </c>
      <c r="O512">
        <v>7.4516974188892915E-3</v>
      </c>
      <c r="P512">
        <v>1.6546866876000193E-2</v>
      </c>
      <c r="Q512">
        <v>4.4608085529993131E-4</v>
      </c>
      <c r="R512">
        <v>5.2459296858143982E-4</v>
      </c>
      <c r="S512">
        <v>5.8973400010261794E-2</v>
      </c>
      <c r="T512">
        <v>1.027357269047255</v>
      </c>
      <c r="U512">
        <v>0</v>
      </c>
      <c r="V512">
        <v>9.7268247348592282E-2</v>
      </c>
      <c r="W512">
        <v>3.4481277456687186E-2</v>
      </c>
      <c r="X512">
        <v>7.8770225849999244E-3</v>
      </c>
      <c r="Y512">
        <v>1.427769128453063E-3</v>
      </c>
    </row>
    <row r="513" spans="1:25" x14ac:dyDescent="0.25">
      <c r="A513" s="1096"/>
      <c r="B513" s="1455">
        <v>263</v>
      </c>
      <c r="C513" s="1100">
        <v>1.0094069356296511</v>
      </c>
      <c r="D513" s="1100">
        <v>0.98232078654420085</v>
      </c>
      <c r="E513" s="1100">
        <v>1.0127783076351367</v>
      </c>
      <c r="F513" s="1100">
        <v>1.0066618029804224</v>
      </c>
      <c r="G513" s="1100">
        <v>0.97227433404493402</v>
      </c>
      <c r="H513" s="1100">
        <v>0.95932002499870761</v>
      </c>
      <c r="I513" s="1100">
        <v>0.99695455979284209</v>
      </c>
      <c r="K513">
        <v>1.3165092344474116</v>
      </c>
      <c r="L513">
        <v>0</v>
      </c>
      <c r="M513">
        <v>5.6022511665397676E-4</v>
      </c>
      <c r="N513">
        <v>5.3534832635055644E-2</v>
      </c>
      <c r="O513">
        <v>7.7478041546854108E-3</v>
      </c>
      <c r="P513">
        <v>1.6444057872359447E-2</v>
      </c>
      <c r="Q513">
        <v>4.5435750956283709E-4</v>
      </c>
      <c r="R513">
        <v>5.5850188809335633E-4</v>
      </c>
      <c r="S513">
        <v>5.917511670546069E-2</v>
      </c>
      <c r="T513">
        <v>1.038875865887243</v>
      </c>
      <c r="U513">
        <v>0</v>
      </c>
      <c r="V513">
        <v>9.6161190285925027E-2</v>
      </c>
      <c r="W513">
        <v>3.4903991985482774E-2</v>
      </c>
      <c r="X513">
        <v>7.6936826109039302E-3</v>
      </c>
      <c r="Y513">
        <v>1.5200580292921864E-3</v>
      </c>
    </row>
    <row r="514" spans="1:25" x14ac:dyDescent="0.25">
      <c r="A514" s="1096"/>
      <c r="B514" s="1455">
        <v>264</v>
      </c>
      <c r="C514" s="1100">
        <v>1.0223950862050761</v>
      </c>
      <c r="D514" s="1100">
        <v>0.98413351157036155</v>
      </c>
      <c r="E514" s="1100">
        <v>0.99534411224064867</v>
      </c>
      <c r="F514" s="1100">
        <v>1.0079152321705249</v>
      </c>
      <c r="G514" s="1100">
        <v>1.040303186526935</v>
      </c>
      <c r="H514" s="1100">
        <v>0.99444900440250883</v>
      </c>
      <c r="I514" s="1100">
        <v>1.0318574362063926</v>
      </c>
      <c r="K514">
        <v>1.3241134896240545</v>
      </c>
      <c r="L514">
        <v>0</v>
      </c>
      <c r="M514">
        <v>5.9405196905588931E-4</v>
      </c>
      <c r="N514">
        <v>5.3861334062060395E-2</v>
      </c>
      <c r="O514">
        <v>7.639524296368971E-3</v>
      </c>
      <c r="P514">
        <v>1.6328586079855364E-2</v>
      </c>
      <c r="Q514">
        <v>4.4024216700210662E-4</v>
      </c>
      <c r="R514">
        <v>5.9228923927938035E-4</v>
      </c>
      <c r="S514">
        <v>6.1481086410719657E-2</v>
      </c>
      <c r="T514">
        <v>1.0406903205344471</v>
      </c>
      <c r="U514">
        <v>0</v>
      </c>
      <c r="V514">
        <v>9.9120970763955263E-2</v>
      </c>
      <c r="W514">
        <v>3.5481464012293157E-2</v>
      </c>
      <c r="X514">
        <v>7.4597079659042137E-3</v>
      </c>
      <c r="Y514">
        <v>1.6120160612232194E-3</v>
      </c>
    </row>
    <row r="515" spans="1:25" x14ac:dyDescent="0.25">
      <c r="A515" s="1096"/>
      <c r="B515" s="1455">
        <v>265</v>
      </c>
      <c r="C515" s="1100">
        <v>0.9800502633686855</v>
      </c>
      <c r="D515" s="1100">
        <v>0.9632166558029247</v>
      </c>
      <c r="E515" s="1100">
        <v>1.0024287355401695</v>
      </c>
      <c r="F515" s="1100">
        <v>0.97383142103163445</v>
      </c>
      <c r="G515" s="1100">
        <v>0.99296595041461011</v>
      </c>
      <c r="H515" s="1100">
        <v>1.0291287324745995</v>
      </c>
      <c r="I515" s="1100">
        <v>0.97964933342921212</v>
      </c>
      <c r="K515">
        <v>1.2973220560861722</v>
      </c>
      <c r="L515">
        <v>0</v>
      </c>
      <c r="M515">
        <v>6.374305857805878E-4</v>
      </c>
      <c r="N515">
        <v>5.9050773755917607E-2</v>
      </c>
      <c r="O515">
        <v>8.0401847271713185E-3</v>
      </c>
      <c r="P515">
        <v>1.5931075449814203E-2</v>
      </c>
      <c r="Q515">
        <v>4.6664434400148377E-4</v>
      </c>
      <c r="R515">
        <v>6.3560287693723158E-4</v>
      </c>
      <c r="S515">
        <v>6.2681174602823977E-2</v>
      </c>
      <c r="T515">
        <v>1.0052925968837914</v>
      </c>
      <c r="U515">
        <v>0</v>
      </c>
      <c r="V515">
        <v>9.788621273002851E-2</v>
      </c>
      <c r="W515">
        <v>3.8736441065780815E-2</v>
      </c>
      <c r="X515">
        <v>7.508878731093814E-3</v>
      </c>
      <c r="Y515">
        <v>1.7299015045910734E-3</v>
      </c>
    </row>
    <row r="516" spans="1:25" x14ac:dyDescent="0.25">
      <c r="A516" s="1096"/>
      <c r="B516" s="1455">
        <v>266</v>
      </c>
      <c r="C516" s="1100">
        <v>1.000269818833982</v>
      </c>
      <c r="D516" s="1100">
        <v>0.97330017448445005</v>
      </c>
      <c r="E516" s="1100">
        <v>0.98233548660653702</v>
      </c>
      <c r="F516" s="1100">
        <v>1.0207321809609413</v>
      </c>
      <c r="G516" s="1100">
        <v>0.96058465774856805</v>
      </c>
      <c r="H516" s="1100">
        <v>0.98155030840209234</v>
      </c>
      <c r="I516" s="1100">
        <v>1.0050985704160575</v>
      </c>
      <c r="K516">
        <v>1.3345904151717909</v>
      </c>
      <c r="L516">
        <v>0</v>
      </c>
      <c r="M516">
        <v>6.1841135017917084E-4</v>
      </c>
      <c r="N516">
        <v>5.3905185840094717E-2</v>
      </c>
      <c r="O516">
        <v>7.8399334607834412E-3</v>
      </c>
      <c r="P516">
        <v>1.630360585722597E-2</v>
      </c>
      <c r="Q516">
        <v>4.4588576352296418E-4</v>
      </c>
      <c r="R516">
        <v>6.1655222468480996E-4</v>
      </c>
      <c r="S516">
        <v>6.1163680713218697E-2</v>
      </c>
      <c r="T516">
        <v>1.0543237012053577</v>
      </c>
      <c r="U516">
        <v>0</v>
      </c>
      <c r="V516">
        <v>9.5786402009511842E-2</v>
      </c>
      <c r="W516">
        <v>3.5788421048091511E-2</v>
      </c>
      <c r="X516">
        <v>7.3574064902724038E-3</v>
      </c>
      <c r="Y516">
        <v>1.6780519092058088E-3</v>
      </c>
    </row>
    <row r="517" spans="1:25" x14ac:dyDescent="0.25">
      <c r="A517" s="1096"/>
      <c r="B517" s="1455">
        <v>267</v>
      </c>
      <c r="C517" s="1100">
        <v>0.95656841029155704</v>
      </c>
      <c r="D517" s="1100">
        <v>1.008858710843304</v>
      </c>
      <c r="E517" s="1100">
        <v>0.98852129283534906</v>
      </c>
      <c r="F517" s="1100">
        <v>0.99520023223564358</v>
      </c>
      <c r="G517" s="1100">
        <v>1.0069289903304111</v>
      </c>
      <c r="H517" s="1100">
        <v>1.0239651378110832</v>
      </c>
      <c r="I517" s="1100">
        <v>1.0183108370820144</v>
      </c>
      <c r="K517">
        <v>1.3226292864633502</v>
      </c>
      <c r="L517">
        <v>0</v>
      </c>
      <c r="M517">
        <v>6.5653509708584346E-4</v>
      </c>
      <c r="N517">
        <v>5.8316353453943245E-2</v>
      </c>
      <c r="O517">
        <v>8.0828569051772832E-3</v>
      </c>
      <c r="P517">
        <v>1.6117730496029596E-2</v>
      </c>
      <c r="Q517">
        <v>4.625923072978881E-4</v>
      </c>
      <c r="R517">
        <v>6.546431168507797E-4</v>
      </c>
      <c r="S517">
        <v>6.4940011905978007E-2</v>
      </c>
      <c r="T517">
        <v>1.0277655993846146</v>
      </c>
      <c r="U517">
        <v>0</v>
      </c>
      <c r="V517">
        <v>9.9166717355570158E-2</v>
      </c>
      <c r="W517">
        <v>3.8573332494149223E-2</v>
      </c>
      <c r="X517">
        <v>7.4242613798031478E-3</v>
      </c>
      <c r="Y517">
        <v>1.7817227610223509E-3</v>
      </c>
    </row>
    <row r="518" spans="1:25" x14ac:dyDescent="0.25">
      <c r="A518" s="1096"/>
      <c r="B518" s="1455">
        <v>268</v>
      </c>
      <c r="C518" s="1100">
        <v>1.0243415954986423</v>
      </c>
      <c r="D518" s="1100">
        <v>1.0335702606122501</v>
      </c>
      <c r="E518" s="1100">
        <v>0.99029800636146181</v>
      </c>
      <c r="F518" s="1100">
        <v>0.97469301272188225</v>
      </c>
      <c r="G518" s="1100">
        <v>1.008669363665899</v>
      </c>
      <c r="H518" s="1100">
        <v>1.033498883626941</v>
      </c>
      <c r="I518" s="1100">
        <v>0.9511554258539141</v>
      </c>
      <c r="K518">
        <v>1.2832558215606853</v>
      </c>
      <c r="L518">
        <v>0</v>
      </c>
      <c r="M518">
        <v>6.1059357608533751E-4</v>
      </c>
      <c r="N518">
        <v>5.4529216386115097E-2</v>
      </c>
      <c r="O518">
        <v>7.4757819180505496E-3</v>
      </c>
      <c r="P518">
        <v>1.5711187361310164E-2</v>
      </c>
      <c r="Q518">
        <v>4.2861791478109485E-4</v>
      </c>
      <c r="R518">
        <v>6.0885022025950082E-4</v>
      </c>
      <c r="S518">
        <v>5.6185013348797185E-2</v>
      </c>
      <c r="T518">
        <v>1.0065352408372339</v>
      </c>
      <c r="U518">
        <v>0</v>
      </c>
      <c r="V518">
        <v>9.7539033101836536E-2</v>
      </c>
      <c r="W518">
        <v>3.6029944780249241E-2</v>
      </c>
      <c r="X518">
        <v>7.1664396760119176E-3</v>
      </c>
      <c r="Y518">
        <v>1.6570895921251942E-3</v>
      </c>
    </row>
    <row r="519" spans="1:25" x14ac:dyDescent="0.25">
      <c r="A519" s="1096"/>
      <c r="B519" s="1455">
        <v>269</v>
      </c>
      <c r="C519" s="1100">
        <v>1.0061627780385627</v>
      </c>
      <c r="D519" s="1100">
        <v>0.97604429381068503</v>
      </c>
      <c r="E519" s="1100">
        <v>0.98764176197042486</v>
      </c>
      <c r="F519" s="1100">
        <v>0.97452577342361713</v>
      </c>
      <c r="G519" s="1100">
        <v>1.0272375524119948</v>
      </c>
      <c r="H519" s="1100">
        <v>0.99443392549323595</v>
      </c>
      <c r="I519" s="1100">
        <v>0.99644472029456799</v>
      </c>
      <c r="K519">
        <v>1.2893548306122271</v>
      </c>
      <c r="L519">
        <v>0</v>
      </c>
      <c r="M519">
        <v>6.153634285151658E-4</v>
      </c>
      <c r="N519">
        <v>5.4509447221872322E-2</v>
      </c>
      <c r="O519">
        <v>7.7865476340557285E-3</v>
      </c>
      <c r="P519">
        <v>1.5756052236973881E-2</v>
      </c>
      <c r="Q519">
        <v>4.4523773199620607E-4</v>
      </c>
      <c r="R519">
        <v>6.1353743357994391E-4</v>
      </c>
      <c r="S519">
        <v>6.0589080585911219E-2</v>
      </c>
      <c r="T519">
        <v>1.0064404394486861</v>
      </c>
      <c r="U519">
        <v>0</v>
      </c>
      <c r="V519">
        <v>9.8871335031054039E-2</v>
      </c>
      <c r="W519">
        <v>3.6074286763110322E-2</v>
      </c>
      <c r="X519">
        <v>7.2143833118575584E-3</v>
      </c>
      <c r="Y519">
        <v>1.6698466416439838E-3</v>
      </c>
    </row>
    <row r="520" spans="1:25" x14ac:dyDescent="0.25">
      <c r="A520" s="1096"/>
      <c r="B520" s="1455">
        <v>270</v>
      </c>
      <c r="C520" s="1100">
        <v>0.98580870291740008</v>
      </c>
      <c r="D520" s="1100">
        <v>1.0049012190973099</v>
      </c>
      <c r="E520" s="1100">
        <v>0.97136581748129824</v>
      </c>
      <c r="F520" s="1100">
        <v>0.9965704674738618</v>
      </c>
      <c r="G520" s="1100">
        <v>1.0210563750040662</v>
      </c>
      <c r="H520" s="1100">
        <v>1.0357275017957608</v>
      </c>
      <c r="I520" s="1100">
        <v>0.99390323907379907</v>
      </c>
      <c r="K520">
        <v>1.3179331036995818</v>
      </c>
      <c r="L520">
        <v>0</v>
      </c>
      <c r="M520">
        <v>6.6869854502915171E-4</v>
      </c>
      <c r="N520">
        <v>5.6394166416460223E-2</v>
      </c>
      <c r="O520">
        <v>7.8512002166771077E-3</v>
      </c>
      <c r="P520">
        <v>1.5893878010640541E-2</v>
      </c>
      <c r="Q520">
        <v>4.4156697725703035E-4</v>
      </c>
      <c r="R520">
        <v>6.6679339716440818E-4</v>
      </c>
      <c r="S520">
        <v>6.1977042010506939E-2</v>
      </c>
      <c r="T520">
        <v>1.0296998038203342</v>
      </c>
      <c r="U520">
        <v>0</v>
      </c>
      <c r="V520">
        <v>9.9062582002607216E-2</v>
      </c>
      <c r="W520">
        <v>3.7690337850547262E-2</v>
      </c>
      <c r="X520">
        <v>7.109639723718403E-3</v>
      </c>
      <c r="Y520">
        <v>1.8147918186972184E-3</v>
      </c>
    </row>
    <row r="521" spans="1:25" x14ac:dyDescent="0.25">
      <c r="A521" s="1096"/>
      <c r="B521" s="1455">
        <v>271</v>
      </c>
      <c r="C521" s="1100">
        <v>0.99284431411957641</v>
      </c>
      <c r="D521" s="1100">
        <v>1.0119113538624869</v>
      </c>
      <c r="E521" s="1100">
        <v>1.0309936897342769</v>
      </c>
      <c r="F521" s="1100">
        <v>1.0042814480708009</v>
      </c>
      <c r="G521" s="1100">
        <v>1.0261151915902007</v>
      </c>
      <c r="H521" s="1100">
        <v>1.0078002787347955</v>
      </c>
      <c r="I521" s="1100">
        <v>1.0087284588679397</v>
      </c>
      <c r="K521">
        <v>1.3255811151367241</v>
      </c>
      <c r="L521">
        <v>0</v>
      </c>
      <c r="M521">
        <v>5.6929660663017888E-4</v>
      </c>
      <c r="N521">
        <v>5.7482933199846688E-2</v>
      </c>
      <c r="O521">
        <v>7.7885920087421489E-3</v>
      </c>
      <c r="P521">
        <v>1.6696716951191765E-2</v>
      </c>
      <c r="Q521">
        <v>4.6508725265530617E-4</v>
      </c>
      <c r="R521">
        <v>5.6762971279897853E-4</v>
      </c>
      <c r="S521">
        <v>6.1421599814921381E-2</v>
      </c>
      <c r="T521">
        <v>1.0358867214506788</v>
      </c>
      <c r="U521">
        <v>0</v>
      </c>
      <c r="V521">
        <v>9.9196435692325668E-2</v>
      </c>
      <c r="W521">
        <v>3.7081399605486787E-2</v>
      </c>
      <c r="X521">
        <v>8.0183950955509016E-3</v>
      </c>
      <c r="Y521">
        <v>1.5449009591542847E-3</v>
      </c>
    </row>
    <row r="522" spans="1:25" x14ac:dyDescent="0.25">
      <c r="A522" s="1096"/>
      <c r="B522" s="1455">
        <v>272</v>
      </c>
      <c r="C522" s="1100">
        <v>0.98461604806230008</v>
      </c>
      <c r="D522" s="1100">
        <v>0.97167385409448614</v>
      </c>
      <c r="E522" s="1100">
        <v>1.0081993466417478</v>
      </c>
      <c r="F522" s="1100">
        <v>1.0095641167457563</v>
      </c>
      <c r="G522" s="1100">
        <v>1.0082648696638923</v>
      </c>
      <c r="H522" s="1100">
        <v>0.98926298724965722</v>
      </c>
      <c r="I522" s="1100">
        <v>1.0476891929083592</v>
      </c>
      <c r="K522">
        <v>1.3336071179550804</v>
      </c>
      <c r="L522">
        <v>0</v>
      </c>
      <c r="M522">
        <v>6.0053040216180033E-4</v>
      </c>
      <c r="N522">
        <v>5.6603855340800403E-2</v>
      </c>
      <c r="O522">
        <v>7.9764227528611054E-3</v>
      </c>
      <c r="P522">
        <v>1.6545252424136948E-2</v>
      </c>
      <c r="Q522">
        <v>4.6562884468706356E-4</v>
      </c>
      <c r="R522">
        <v>5.9873910739739798E-4</v>
      </c>
      <c r="S522">
        <v>6.5107969547586894E-2</v>
      </c>
      <c r="T522">
        <v>1.0420072104527334</v>
      </c>
      <c r="U522">
        <v>0</v>
      </c>
      <c r="V522">
        <v>9.8515577828231726E-2</v>
      </c>
      <c r="W522">
        <v>3.7004697032680813E-2</v>
      </c>
      <c r="X522">
        <v>7.7527245500830016E-3</v>
      </c>
      <c r="Y522">
        <v>1.6295704760420087E-3</v>
      </c>
    </row>
    <row r="523" spans="1:25" x14ac:dyDescent="0.25">
      <c r="A523" s="1096"/>
      <c r="B523" s="1455">
        <v>273</v>
      </c>
      <c r="C523" s="1100">
        <v>0.99441288322703325</v>
      </c>
      <c r="D523" s="1100">
        <v>0.9844617757531603</v>
      </c>
      <c r="E523" s="1100">
        <v>0.98437337522505508</v>
      </c>
      <c r="F523" s="1100">
        <v>0.99158238604117455</v>
      </c>
      <c r="G523" s="1100">
        <v>0.95086034538668063</v>
      </c>
      <c r="H523" s="1100">
        <v>1.0015867001930232</v>
      </c>
      <c r="I523" s="1100">
        <v>0.96026870863139713</v>
      </c>
      <c r="K523">
        <v>1.3035523680520471</v>
      </c>
      <c r="L523">
        <v>0</v>
      </c>
      <c r="M523">
        <v>6.292047294759115E-4</v>
      </c>
      <c r="N523">
        <v>5.5188482365132338E-2</v>
      </c>
      <c r="O523">
        <v>7.850727565428324E-3</v>
      </c>
      <c r="P523">
        <v>1.5888796145286935E-2</v>
      </c>
      <c r="Q523">
        <v>4.4742373227726174E-4</v>
      </c>
      <c r="R523">
        <v>6.2735099619235586E-4</v>
      </c>
      <c r="S523">
        <v>5.9016444580209076E-2</v>
      </c>
      <c r="T523">
        <v>1.0241534566457631</v>
      </c>
      <c r="U523">
        <v>0</v>
      </c>
      <c r="V523">
        <v>9.5464142765000509E-2</v>
      </c>
      <c r="W523">
        <v>3.6595480211320898E-2</v>
      </c>
      <c r="X523">
        <v>7.2418251694770534E-3</v>
      </c>
      <c r="Y523">
        <v>1.7074426054352785E-3</v>
      </c>
    </row>
    <row r="524" spans="1:25" x14ac:dyDescent="0.25">
      <c r="A524" s="1096"/>
      <c r="B524" s="1455">
        <v>274</v>
      </c>
      <c r="C524" s="1100">
        <v>1.0153977971703645</v>
      </c>
      <c r="D524" s="1100">
        <v>0.9695715021125616</v>
      </c>
      <c r="E524" s="1100">
        <v>1.0105745390020906</v>
      </c>
      <c r="F524" s="1100">
        <v>0.97988994239354676</v>
      </c>
      <c r="G524" s="1100">
        <v>1.0103141495736183</v>
      </c>
      <c r="H524" s="1100">
        <v>0.97398930577622056</v>
      </c>
      <c r="I524" s="1100">
        <v>1.0296036157511348</v>
      </c>
      <c r="K524">
        <v>1.2937922833112501</v>
      </c>
      <c r="L524">
        <v>0</v>
      </c>
      <c r="M524">
        <v>5.7100718862344857E-4</v>
      </c>
      <c r="N524">
        <v>5.4205898769900146E-2</v>
      </c>
      <c r="O524">
        <v>7.7419040943268666E-3</v>
      </c>
      <c r="P524">
        <v>1.6095592848209224E-2</v>
      </c>
      <c r="Q524">
        <v>4.5301335868418987E-4</v>
      </c>
      <c r="R524">
        <v>5.6927724796593335E-4</v>
      </c>
      <c r="S524">
        <v>6.1640224280580413E-2</v>
      </c>
      <c r="T524">
        <v>1.0113108084467999</v>
      </c>
      <c r="U524">
        <v>0</v>
      </c>
      <c r="V524">
        <v>9.7854243028285534E-2</v>
      </c>
      <c r="W524">
        <v>3.5387413911542681E-2</v>
      </c>
      <c r="X524">
        <v>7.5555295068078961E-3</v>
      </c>
      <c r="Y524">
        <v>1.5493850067689141E-3</v>
      </c>
    </row>
    <row r="525" spans="1:25" x14ac:dyDescent="0.25">
      <c r="A525" s="1096"/>
      <c r="B525" s="1455">
        <v>275</v>
      </c>
      <c r="C525" s="1100">
        <v>0.97470299430707374</v>
      </c>
      <c r="D525" s="1100">
        <v>1.0028695378871291</v>
      </c>
      <c r="E525" s="1100">
        <v>1.036703326250731</v>
      </c>
      <c r="F525" s="1100">
        <v>1.011440275462633</v>
      </c>
      <c r="G525" s="1100">
        <v>1.0225723628504888</v>
      </c>
      <c r="H525" s="1100">
        <v>0.98984162937362263</v>
      </c>
      <c r="I525" s="1100">
        <v>1.0246118167883687</v>
      </c>
      <c r="K525">
        <v>1.3362714569644532</v>
      </c>
      <c r="L525">
        <v>0</v>
      </c>
      <c r="M525">
        <v>5.6484316794427642E-4</v>
      </c>
      <c r="N525">
        <v>5.8020048283610473E-2</v>
      </c>
      <c r="O525">
        <v>7.9635324342853461E-3</v>
      </c>
      <c r="P525">
        <v>1.6897357433707537E-2</v>
      </c>
      <c r="Q525">
        <v>4.7821995650401531E-4</v>
      </c>
      <c r="R525">
        <v>5.6315930793170903E-4</v>
      </c>
      <c r="S525">
        <v>6.3285938608532835E-2</v>
      </c>
      <c r="T525">
        <v>1.0431047428062563</v>
      </c>
      <c r="U525">
        <v>0</v>
      </c>
      <c r="V525">
        <v>9.9496387887639523E-2</v>
      </c>
      <c r="W525">
        <v>3.7304415118739775E-2</v>
      </c>
      <c r="X525">
        <v>8.1897643044162843E-3</v>
      </c>
      <c r="Y525">
        <v>1.5327339907741453E-3</v>
      </c>
    </row>
    <row r="526" spans="1:25" x14ac:dyDescent="0.25">
      <c r="A526" s="1096"/>
      <c r="B526" s="1455">
        <v>276</v>
      </c>
      <c r="C526" s="1100">
        <v>0.98537106251779061</v>
      </c>
      <c r="D526" s="1100">
        <v>1.0330392375163371</v>
      </c>
      <c r="E526" s="1100">
        <v>0.99942495878124726</v>
      </c>
      <c r="F526" s="1100">
        <v>0.9663979592262375</v>
      </c>
      <c r="G526" s="1100">
        <v>0.99879618026861061</v>
      </c>
      <c r="H526" s="1100">
        <v>1.0179823317334948</v>
      </c>
      <c r="I526" s="1100">
        <v>1.0032182013411164</v>
      </c>
      <c r="K526">
        <v>1.2832481797213573</v>
      </c>
      <c r="L526">
        <v>0</v>
      </c>
      <c r="M526">
        <v>6.136224183259432E-4</v>
      </c>
      <c r="N526">
        <v>5.6329936173015654E-2</v>
      </c>
      <c r="O526">
        <v>7.7752825155493182E-3</v>
      </c>
      <c r="P526">
        <v>1.5773110230805923E-2</v>
      </c>
      <c r="Q526">
        <v>4.4990989986130577E-4</v>
      </c>
      <c r="R526">
        <v>6.1184370976271967E-4</v>
      </c>
      <c r="S526">
        <v>6.1153867436389515E-2</v>
      </c>
      <c r="T526">
        <v>0.99770530850232753</v>
      </c>
      <c r="U526">
        <v>0</v>
      </c>
      <c r="V526">
        <v>9.8028343908115989E-2</v>
      </c>
      <c r="W526">
        <v>3.7017591129467946E-2</v>
      </c>
      <c r="X526">
        <v>7.3513717506376638E-3</v>
      </c>
      <c r="Y526">
        <v>1.6652368837494064E-3</v>
      </c>
    </row>
    <row r="527" spans="1:25" x14ac:dyDescent="0.25">
      <c r="A527" s="1096"/>
      <c r="B527" s="1455">
        <v>277</v>
      </c>
      <c r="C527" s="1100">
        <v>1.0048505888509853</v>
      </c>
      <c r="D527" s="1100">
        <v>0.97045508252663348</v>
      </c>
      <c r="E527" s="1100">
        <v>1.0047216346297785</v>
      </c>
      <c r="F527" s="1100">
        <v>1.0164499436553194</v>
      </c>
      <c r="G527" s="1100">
        <v>1.0001726557896249</v>
      </c>
      <c r="H527" s="1100">
        <v>1.0258074984480408</v>
      </c>
      <c r="I527" s="1100">
        <v>1.0266981028515307</v>
      </c>
      <c r="K527">
        <v>1.3396890790910674</v>
      </c>
      <c r="L527">
        <v>0</v>
      </c>
      <c r="M527">
        <v>6.1490583809236906E-4</v>
      </c>
      <c r="N527">
        <v>5.7359450733246962E-2</v>
      </c>
      <c r="O527">
        <v>7.818866710963596E-3</v>
      </c>
      <c r="P527">
        <v>1.6569850248717353E-2</v>
      </c>
      <c r="Q527">
        <v>4.5484430593095818E-4</v>
      </c>
      <c r="R527">
        <v>6.1313700617827483E-4</v>
      </c>
      <c r="S527">
        <v>6.3711405413558811E-2</v>
      </c>
      <c r="T527">
        <v>1.0492188559162352</v>
      </c>
      <c r="U527">
        <v>0</v>
      </c>
      <c r="V527">
        <v>9.7613282096331896E-2</v>
      </c>
      <c r="W527">
        <v>3.7575860150734296E-2</v>
      </c>
      <c r="X527">
        <v>7.6996755370033598E-3</v>
      </c>
      <c r="Y527">
        <v>1.6687568102574984E-3</v>
      </c>
    </row>
    <row r="528" spans="1:25" x14ac:dyDescent="0.25">
      <c r="A528" s="1096"/>
      <c r="B528" s="1455">
        <v>278</v>
      </c>
      <c r="C528" s="1100">
        <v>1.0204130989504985</v>
      </c>
      <c r="D528" s="1100">
        <v>0.99572998909937493</v>
      </c>
      <c r="E528" s="1100">
        <v>1.0020981467349952</v>
      </c>
      <c r="F528" s="1100">
        <v>1.0094803421398604</v>
      </c>
      <c r="G528" s="1100">
        <v>0.984573881388908</v>
      </c>
      <c r="H528" s="1100">
        <v>1.0091919085608341</v>
      </c>
      <c r="I528" s="1100">
        <v>1.00051788392216</v>
      </c>
      <c r="K528">
        <v>1.322831817926218</v>
      </c>
      <c r="L528">
        <v>0</v>
      </c>
      <c r="M528">
        <v>5.9284362833274978E-4</v>
      </c>
      <c r="N528">
        <v>5.4862360124840394E-2</v>
      </c>
      <c r="O528">
        <v>7.620206991846617E-3</v>
      </c>
      <c r="P528">
        <v>1.6371439081308229E-2</v>
      </c>
      <c r="Q528">
        <v>4.4212249473152813E-4</v>
      </c>
      <c r="R528">
        <v>5.9111018273985856E-4</v>
      </c>
      <c r="S528">
        <v>5.9803633465012315E-2</v>
      </c>
      <c r="T528">
        <v>1.04210312398614</v>
      </c>
      <c r="U528">
        <v>0</v>
      </c>
      <c r="V528">
        <v>9.6479568357519516E-2</v>
      </c>
      <c r="W528">
        <v>3.599596249476289E-2</v>
      </c>
      <c r="X528">
        <v>7.5463273176497583E-3</v>
      </c>
      <c r="Y528">
        <v>1.6088070579985249E-3</v>
      </c>
    </row>
    <row r="529" spans="1:25" x14ac:dyDescent="0.25">
      <c r="A529" s="1096"/>
      <c r="B529" s="1455">
        <v>279</v>
      </c>
      <c r="C529" s="1100">
        <v>1.0277270518267809</v>
      </c>
      <c r="D529" s="1100">
        <v>1.0287312485527245</v>
      </c>
      <c r="E529" s="1100">
        <v>0.97068528014527622</v>
      </c>
      <c r="F529" s="1100">
        <v>0.99815426895574921</v>
      </c>
      <c r="G529" s="1100">
        <v>1.0027176347780937</v>
      </c>
      <c r="H529" s="1100">
        <v>0.97230404602527776</v>
      </c>
      <c r="I529" s="1100">
        <v>0.98657634995236598</v>
      </c>
      <c r="K529">
        <v>1.3011150716821152</v>
      </c>
      <c r="L529">
        <v>0</v>
      </c>
      <c r="M529">
        <v>5.9736621905059093E-4</v>
      </c>
      <c r="N529">
        <v>5.0265346282666365E-2</v>
      </c>
      <c r="O529">
        <v>7.4605385227944961E-3</v>
      </c>
      <c r="P529">
        <v>1.5808262378053665E-2</v>
      </c>
      <c r="Q529">
        <v>4.1930380741619206E-4</v>
      </c>
      <c r="R529">
        <v>5.9555328341751815E-4</v>
      </c>
      <c r="S529">
        <v>5.6439794272901224E-2</v>
      </c>
      <c r="T529">
        <v>1.0313570639115108</v>
      </c>
      <c r="U529">
        <v>0</v>
      </c>
      <c r="V529">
        <v>9.7149923461354218E-2</v>
      </c>
      <c r="W529">
        <v>3.3608123540686131E-2</v>
      </c>
      <c r="X529">
        <v>6.9876287269902086E-3</v>
      </c>
      <c r="Y529">
        <v>1.6208997133753695E-3</v>
      </c>
    </row>
    <row r="530" spans="1:25" x14ac:dyDescent="0.25">
      <c r="A530" s="1096"/>
      <c r="B530" s="1455">
        <v>280</v>
      </c>
      <c r="C530" s="1100">
        <v>0.97701620463339411</v>
      </c>
      <c r="D530" s="1100">
        <v>1.0232949975438121</v>
      </c>
      <c r="E530" s="1100">
        <v>0.96646474303410845</v>
      </c>
      <c r="F530" s="1100">
        <v>0.98591819867788189</v>
      </c>
      <c r="G530" s="1100">
        <v>1.00913909858192</v>
      </c>
      <c r="H530" s="1100">
        <v>0.99847440386984532</v>
      </c>
      <c r="I530" s="1100">
        <v>0.99629891529092773</v>
      </c>
      <c r="K530">
        <v>1.3017250384089394</v>
      </c>
      <c r="L530">
        <v>0</v>
      </c>
      <c r="M530">
        <v>6.5231167377390519E-4</v>
      </c>
      <c r="N530">
        <v>5.4196002376064867E-2</v>
      </c>
      <c r="O530">
        <v>7.8633734639048346E-3</v>
      </c>
      <c r="P530">
        <v>1.5671147182469952E-2</v>
      </c>
      <c r="Q530">
        <v>4.4004046903663993E-4</v>
      </c>
      <c r="R530">
        <v>6.5038387352070936E-4</v>
      </c>
      <c r="S530">
        <v>6.0928211379545683E-2</v>
      </c>
      <c r="T530">
        <v>1.0188417400310408</v>
      </c>
      <c r="U530">
        <v>0</v>
      </c>
      <c r="V530">
        <v>9.8706846371910906E-2</v>
      </c>
      <c r="W530">
        <v>3.6329523471874542E-2</v>
      </c>
      <c r="X530">
        <v>6.9799509586076112E-3</v>
      </c>
      <c r="Y530">
        <v>1.7701305047370863E-3</v>
      </c>
    </row>
    <row r="531" spans="1:25" x14ac:dyDescent="0.25">
      <c r="A531" s="1096"/>
      <c r="B531" s="1455">
        <v>281</v>
      </c>
      <c r="C531" s="1100">
        <v>1.0348711254344529</v>
      </c>
      <c r="D531" s="1100">
        <v>1.0254641308986183</v>
      </c>
      <c r="E531" s="1100">
        <v>1.0057592125010453</v>
      </c>
      <c r="F531" s="1100">
        <v>0.99224888877469997</v>
      </c>
      <c r="G531" s="1100">
        <v>0.99774823352493369</v>
      </c>
      <c r="H531" s="1100">
        <v>0.97943609587808522</v>
      </c>
      <c r="I531" s="1100">
        <v>0.97052143331356455</v>
      </c>
      <c r="K531">
        <v>1.2955193571983485</v>
      </c>
      <c r="L531">
        <v>0</v>
      </c>
      <c r="M531">
        <v>5.5644288057424556E-4</v>
      </c>
      <c r="N531">
        <v>5.2061720315425275E-2</v>
      </c>
      <c r="O531">
        <v>7.426689680256119E-3</v>
      </c>
      <c r="P531">
        <v>1.6115616400596718E-2</v>
      </c>
      <c r="Q531">
        <v>4.3247983970419267E-4</v>
      </c>
      <c r="R531">
        <v>5.5476643946019441E-4</v>
      </c>
      <c r="S531">
        <v>5.5465803104749599E-2</v>
      </c>
      <c r="T531">
        <v>1.0242071095906122</v>
      </c>
      <c r="U531">
        <v>0</v>
      </c>
      <c r="V531">
        <v>9.678162791188373E-2</v>
      </c>
      <c r="W531">
        <v>3.4084407294873872E-2</v>
      </c>
      <c r="X531">
        <v>7.4356881318567401E-3</v>
      </c>
      <c r="Y531">
        <v>1.5098913695030306E-3</v>
      </c>
    </row>
    <row r="532" spans="1:25" x14ac:dyDescent="0.25">
      <c r="A532" s="1096"/>
      <c r="B532" s="1455">
        <v>282</v>
      </c>
      <c r="C532" s="1100">
        <v>0.96649234858237387</v>
      </c>
      <c r="D532" s="1100">
        <v>1.0040756047975172</v>
      </c>
      <c r="E532" s="1100">
        <v>1.0264126688074433</v>
      </c>
      <c r="F532" s="1100">
        <v>1.0306220140311151</v>
      </c>
      <c r="G532" s="1100">
        <v>1.0447542513084009</v>
      </c>
      <c r="H532" s="1100">
        <v>1.0101107106055516</v>
      </c>
      <c r="I532" s="1100">
        <v>0.99008011172354837</v>
      </c>
      <c r="K532">
        <v>1.3589017831043637</v>
      </c>
      <c r="L532">
        <v>0</v>
      </c>
      <c r="M532">
        <v>5.9362359744582398E-4</v>
      </c>
      <c r="N532">
        <v>5.911753266122196E-2</v>
      </c>
      <c r="O532">
        <v>8.0247031201599248E-3</v>
      </c>
      <c r="P532">
        <v>1.7054488034735322E-2</v>
      </c>
      <c r="Q532">
        <v>4.7701939199120091E-4</v>
      </c>
      <c r="R532">
        <v>5.9188945008734908E-4</v>
      </c>
      <c r="S532">
        <v>6.2255782317888177E-2</v>
      </c>
      <c r="T532">
        <v>1.0631927488850932</v>
      </c>
      <c r="U532">
        <v>0</v>
      </c>
      <c r="V532">
        <v>0.10077395235546037</v>
      </c>
      <c r="W532">
        <v>3.8237504134102124E-2</v>
      </c>
      <c r="X532">
        <v>8.1588583842370638E-3</v>
      </c>
      <c r="Y532">
        <v>1.6109279668329818E-3</v>
      </c>
    </row>
    <row r="533" spans="1:25" x14ac:dyDescent="0.25">
      <c r="A533" s="1096"/>
      <c r="B533" s="1455">
        <v>283</v>
      </c>
      <c r="C533" s="1100">
        <v>1.0077377483876835</v>
      </c>
      <c r="D533" s="1100">
        <v>1.0122633797073539</v>
      </c>
      <c r="E533" s="1100">
        <v>0.99348771254779422</v>
      </c>
      <c r="F533" s="1100">
        <v>1.0440829470507884</v>
      </c>
      <c r="G533" s="1100">
        <v>1.0407448471045091</v>
      </c>
      <c r="H533" s="1100">
        <v>0.95725918702388446</v>
      </c>
      <c r="I533" s="1100">
        <v>0.96450980955843491</v>
      </c>
      <c r="K533">
        <v>1.3540745273889223</v>
      </c>
      <c r="L533">
        <v>0</v>
      </c>
      <c r="M533">
        <v>5.7586116488934783E-4</v>
      </c>
      <c r="N533">
        <v>5.1913877009107032E-2</v>
      </c>
      <c r="O533">
        <v>7.6633076624312846E-3</v>
      </c>
      <c r="P533">
        <v>1.6748819269090526E-2</v>
      </c>
      <c r="Q533">
        <v>4.4078689355391421E-4</v>
      </c>
      <c r="R533">
        <v>5.7408602711098503E-4</v>
      </c>
      <c r="S533">
        <v>5.6345604295347275E-2</v>
      </c>
      <c r="T533">
        <v>1.0780921409561564</v>
      </c>
      <c r="U533">
        <v>0</v>
      </c>
      <c r="V533">
        <v>9.9492790881830745E-2</v>
      </c>
      <c r="W533">
        <v>3.4236486007537981E-2</v>
      </c>
      <c r="X533">
        <v>7.58001663325783E-3</v>
      </c>
      <c r="Y533">
        <v>1.5624729183881256E-3</v>
      </c>
    </row>
    <row r="534" spans="1:25" x14ac:dyDescent="0.25">
      <c r="A534" s="1096"/>
      <c r="B534" s="1455">
        <v>284</v>
      </c>
      <c r="C534" s="1100">
        <v>1.0287475164772024</v>
      </c>
      <c r="D534" s="1100">
        <v>1.0360386456751354</v>
      </c>
      <c r="E534" s="1100">
        <v>1.0095247528101732</v>
      </c>
      <c r="F534" s="1100">
        <v>0.96629602032121387</v>
      </c>
      <c r="G534" s="1100">
        <v>1.0256585737312927</v>
      </c>
      <c r="H534" s="1100">
        <v>1.0072938666353775</v>
      </c>
      <c r="I534" s="1100">
        <v>0.96677862823596261</v>
      </c>
      <c r="K534">
        <v>1.2732861640438591</v>
      </c>
      <c r="L534">
        <v>0</v>
      </c>
      <c r="M534">
        <v>5.6885256988078504E-4</v>
      </c>
      <c r="N534">
        <v>5.3835893593357144E-2</v>
      </c>
      <c r="O534">
        <v>7.4411887775364264E-3</v>
      </c>
      <c r="P534">
        <v>1.582004210795367E-2</v>
      </c>
      <c r="Q534">
        <v>4.3496048583723299E-4</v>
      </c>
      <c r="R534">
        <v>5.671861388148714E-4</v>
      </c>
      <c r="S534">
        <v>5.6067132417161394E-2</v>
      </c>
      <c r="T534">
        <v>0.99731087814112429</v>
      </c>
      <c r="U534">
        <v>0</v>
      </c>
      <c r="V534">
        <v>9.8278660724469266E-2</v>
      </c>
      <c r="W534">
        <v>3.5167624586612801E-2</v>
      </c>
      <c r="X534">
        <v>7.3877559438780974E-3</v>
      </c>
      <c r="Y534">
        <v>1.5436936969936697E-3</v>
      </c>
    </row>
    <row r="535" spans="1:25" x14ac:dyDescent="0.25">
      <c r="A535" s="1096"/>
      <c r="B535" s="1455">
        <v>285</v>
      </c>
      <c r="C535" s="1100">
        <v>1.0026603725519503</v>
      </c>
      <c r="D535" s="1100">
        <v>0.98179721038675172</v>
      </c>
      <c r="E535" s="1100">
        <v>0.99017963000794007</v>
      </c>
      <c r="F535" s="1100">
        <v>1.0300482915620188</v>
      </c>
      <c r="G535" s="1100">
        <v>1.0264256143107502</v>
      </c>
      <c r="H535" s="1100">
        <v>1.0057992574854189</v>
      </c>
      <c r="I535" s="1100">
        <v>0.9700835626514086</v>
      </c>
      <c r="K535">
        <v>1.3478510117334499</v>
      </c>
      <c r="L535">
        <v>0</v>
      </c>
      <c r="M535">
        <v>6.1983807394864847E-4</v>
      </c>
      <c r="N535">
        <v>5.5330627340683183E-2</v>
      </c>
      <c r="O535">
        <v>7.7960253348063066E-3</v>
      </c>
      <c r="P535">
        <v>1.6545313095564167E-2</v>
      </c>
      <c r="Q535">
        <v>4.4692534122173498E-4</v>
      </c>
      <c r="R535">
        <v>6.1801958461846337E-4</v>
      </c>
      <c r="S535">
        <v>5.9346202391522052E-2</v>
      </c>
      <c r="T535">
        <v>1.0637025851380359</v>
      </c>
      <c r="U535">
        <v>0</v>
      </c>
      <c r="V535">
        <v>9.8920918978434108E-2</v>
      </c>
      <c r="W535">
        <v>3.6562065819433484E-2</v>
      </c>
      <c r="X535">
        <v>7.5201212038491097E-3</v>
      </c>
      <c r="Y535">
        <v>1.6820455792301416E-3</v>
      </c>
    </row>
    <row r="536" spans="1:25" x14ac:dyDescent="0.25">
      <c r="A536" s="1096"/>
      <c r="B536" s="1455">
        <v>286</v>
      </c>
      <c r="C536" s="1100">
        <v>1.0061273108455813</v>
      </c>
      <c r="D536" s="1100">
        <v>1.0027370614389917</v>
      </c>
      <c r="E536" s="1100">
        <v>0.99433895222021917</v>
      </c>
      <c r="F536" s="1100">
        <v>1.0344644211651524</v>
      </c>
      <c r="G536" s="1100">
        <v>1.0067618401851404</v>
      </c>
      <c r="H536" s="1100">
        <v>0.9992612814328995</v>
      </c>
      <c r="I536" s="1100">
        <v>1.017404955196419</v>
      </c>
      <c r="K536">
        <v>1.3516715867328712</v>
      </c>
      <c r="L536">
        <v>0</v>
      </c>
      <c r="M536">
        <v>6.0330699479121301E-4</v>
      </c>
      <c r="N536">
        <v>5.4535322265138887E-2</v>
      </c>
      <c r="O536">
        <v>7.7048664769212146E-3</v>
      </c>
      <c r="P536">
        <v>1.666751669675344E-2</v>
      </c>
      <c r="Q536">
        <v>4.4355796898156076E-4</v>
      </c>
      <c r="R536">
        <v>6.0152542385619222E-4</v>
      </c>
      <c r="S536">
        <v>6.1131261709717964E-2</v>
      </c>
      <c r="T536">
        <v>1.0681339379357999</v>
      </c>
      <c r="U536">
        <v>0</v>
      </c>
      <c r="V536">
        <v>9.7889176679456666E-2</v>
      </c>
      <c r="W536">
        <v>3.5947014019774411E-2</v>
      </c>
      <c r="X536">
        <v>7.5835606403262083E-3</v>
      </c>
      <c r="Y536">
        <v>1.6371539109338736E-3</v>
      </c>
    </row>
    <row r="537" spans="1:25" x14ac:dyDescent="0.25">
      <c r="A537" s="1096"/>
      <c r="B537" s="1455">
        <v>287</v>
      </c>
      <c r="C537" s="1100">
        <v>1.0347151815785571</v>
      </c>
      <c r="D537" s="1100">
        <v>1.0155878092717432</v>
      </c>
      <c r="E537" s="1100">
        <v>1.0111244947110656</v>
      </c>
      <c r="F537" s="1100">
        <v>1.022758966349637</v>
      </c>
      <c r="G537" s="1100">
        <v>1.0075984361872501</v>
      </c>
      <c r="H537" s="1100">
        <v>0.98766504928272736</v>
      </c>
      <c r="I537" s="1100">
        <v>1.0162240893032246</v>
      </c>
      <c r="K537">
        <v>1.3327564953899933</v>
      </c>
      <c r="L537">
        <v>0</v>
      </c>
      <c r="M537">
        <v>5.5713591089485135E-4</v>
      </c>
      <c r="N537">
        <v>5.2979202999139031E-2</v>
      </c>
      <c r="O537">
        <v>7.4578851582879782E-3</v>
      </c>
      <c r="P537">
        <v>1.6660987867227021E-2</v>
      </c>
      <c r="Q537">
        <v>4.3663400743540985E-4</v>
      </c>
      <c r="R537">
        <v>5.5547136687375824E-4</v>
      </c>
      <c r="S537">
        <v>5.863960657670611E-2</v>
      </c>
      <c r="T537">
        <v>1.0555378975762713</v>
      </c>
      <c r="U537">
        <v>0</v>
      </c>
      <c r="V537">
        <v>9.7267726147198058E-2</v>
      </c>
      <c r="W537">
        <v>3.4575379142991809E-2</v>
      </c>
      <c r="X537">
        <v>7.6910305092134715E-3</v>
      </c>
      <c r="Y537">
        <v>1.5118099495434925E-3</v>
      </c>
    </row>
    <row r="538" spans="1:25" x14ac:dyDescent="0.25">
      <c r="A538" s="1096"/>
      <c r="B538" s="1455">
        <v>288</v>
      </c>
      <c r="C538" s="1100">
        <v>1.040300725648253</v>
      </c>
      <c r="D538" s="1100">
        <v>1.005146608401027</v>
      </c>
      <c r="E538" s="1100">
        <v>1.019176304707851</v>
      </c>
      <c r="F538" s="1100">
        <v>0.98480286692785202</v>
      </c>
      <c r="G538" s="1100">
        <v>0.99179612772988524</v>
      </c>
      <c r="H538" s="1100">
        <v>1.0029038063413616</v>
      </c>
      <c r="I538" s="1100">
        <v>0.99832553467911223</v>
      </c>
      <c r="K538">
        <v>1.2931016311720027</v>
      </c>
      <c r="L538">
        <v>0</v>
      </c>
      <c r="M538">
        <v>5.5564505582007167E-4</v>
      </c>
      <c r="N538">
        <v>5.4139533705615195E-2</v>
      </c>
      <c r="O538">
        <v>7.4504693465144789E-3</v>
      </c>
      <c r="P538">
        <v>1.6194773562796499E-2</v>
      </c>
      <c r="Q538">
        <v>4.3971489809713671E-4</v>
      </c>
      <c r="R538">
        <v>5.5401019045597149E-4</v>
      </c>
      <c r="S538">
        <v>5.8069550307591165E-2</v>
      </c>
      <c r="T538">
        <v>1.0161328741562776</v>
      </c>
      <c r="U538">
        <v>0</v>
      </c>
      <c r="V538">
        <v>9.6383474015469275E-2</v>
      </c>
      <c r="W538">
        <v>3.5165951315429739E-2</v>
      </c>
      <c r="X538">
        <v>7.6190916205652612E-3</v>
      </c>
      <c r="Y538">
        <v>1.5078331090109531E-3</v>
      </c>
    </row>
    <row r="539" spans="1:25" x14ac:dyDescent="0.25">
      <c r="A539" s="1096"/>
      <c r="B539" s="1455">
        <v>289</v>
      </c>
      <c r="C539" s="1100">
        <v>1.0068998325930099</v>
      </c>
      <c r="D539" s="1100">
        <v>0.96339854735609842</v>
      </c>
      <c r="E539" s="1100">
        <v>1.0138654975162129</v>
      </c>
      <c r="F539" s="1100">
        <v>1.0169183612834529</v>
      </c>
      <c r="G539" s="1100">
        <v>1.0003337269978285</v>
      </c>
      <c r="H539" s="1100">
        <v>1.0191803354607352</v>
      </c>
      <c r="I539" s="1100">
        <v>1.0035552183010401</v>
      </c>
      <c r="K539">
        <v>1.3386340320029766</v>
      </c>
      <c r="L539">
        <v>0</v>
      </c>
      <c r="M539">
        <v>5.9996738519863793E-4</v>
      </c>
      <c r="N539">
        <v>5.7531449474891194E-2</v>
      </c>
      <c r="O539">
        <v>7.828031155981326E-3</v>
      </c>
      <c r="P539">
        <v>1.6663884523629827E-2</v>
      </c>
      <c r="Q539">
        <v>4.5956055728626761E-4</v>
      </c>
      <c r="R539">
        <v>5.9823030277842662E-4</v>
      </c>
      <c r="S539">
        <v>6.2196369650657099E-2</v>
      </c>
      <c r="T539">
        <v>1.049428173280827</v>
      </c>
      <c r="U539">
        <v>0</v>
      </c>
      <c r="V539">
        <v>9.7581093372669792E-2</v>
      </c>
      <c r="W539">
        <v>3.7485755885998298E-2</v>
      </c>
      <c r="X539">
        <v>7.8332655058583143E-3</v>
      </c>
      <c r="Y539">
        <v>1.6281856775965666E-3</v>
      </c>
    </row>
    <row r="540" spans="1:25" x14ac:dyDescent="0.25">
      <c r="A540" s="1096"/>
      <c r="B540" s="1455">
        <v>290</v>
      </c>
      <c r="C540" s="1100">
        <v>0.97328086356559562</v>
      </c>
      <c r="D540" s="1100">
        <v>0.99623088040839625</v>
      </c>
      <c r="E540" s="1100">
        <v>1.0279158702562454</v>
      </c>
      <c r="F540" s="1100">
        <v>0.99694187113048705</v>
      </c>
      <c r="G540" s="1100">
        <v>0.99594636016992499</v>
      </c>
      <c r="H540" s="1100">
        <v>0.9908794834502892</v>
      </c>
      <c r="I540" s="1100">
        <v>1.0290756737482856</v>
      </c>
      <c r="K540">
        <v>1.3203778582167183</v>
      </c>
      <c r="L540">
        <v>0</v>
      </c>
      <c r="M540">
        <v>5.7826383843395082E-4</v>
      </c>
      <c r="N540">
        <v>5.7846208828881446E-2</v>
      </c>
      <c r="O540">
        <v>7.9941536194077061E-3</v>
      </c>
      <c r="P540">
        <v>1.6576467833452596E-2</v>
      </c>
      <c r="Q540">
        <v>4.7591128948547794E-4</v>
      </c>
      <c r="R540">
        <v>5.7654177550886543E-4</v>
      </c>
      <c r="S540">
        <v>6.3906467219620011E-2</v>
      </c>
      <c r="T540">
        <v>1.0284048146904383</v>
      </c>
      <c r="U540">
        <v>0</v>
      </c>
      <c r="V540">
        <v>9.8235144073154604E-2</v>
      </c>
      <c r="W540">
        <v>3.7382499872062616E-2</v>
      </c>
      <c r="X540">
        <v>7.9887561971489548E-3</v>
      </c>
      <c r="Y540">
        <v>1.5691566559899142E-3</v>
      </c>
    </row>
    <row r="541" spans="1:25" x14ac:dyDescent="0.25">
      <c r="A541" s="1096"/>
      <c r="B541" s="1455">
        <v>291</v>
      </c>
      <c r="C541" s="1100">
        <v>0.9701182828231294</v>
      </c>
      <c r="D541" s="1100">
        <v>1.0100548130807534</v>
      </c>
      <c r="E541" s="1100">
        <v>0.99846209095373162</v>
      </c>
      <c r="F541" s="1100">
        <v>1.0419493981626307</v>
      </c>
      <c r="G541" s="1100">
        <v>0.99201277991091907</v>
      </c>
      <c r="H541" s="1100">
        <v>0.96111723502173307</v>
      </c>
      <c r="I541" s="1100">
        <v>0.99308567031362627</v>
      </c>
      <c r="K541">
        <v>1.3591259390862551</v>
      </c>
      <c r="L541">
        <v>0</v>
      </c>
      <c r="M541">
        <v>5.9496096676646707E-4</v>
      </c>
      <c r="N541">
        <v>5.4448802815904272E-2</v>
      </c>
      <c r="O541">
        <v>7.9686879407824124E-3</v>
      </c>
      <c r="P541">
        <v>1.6816232667168592E-2</v>
      </c>
      <c r="Q541">
        <v>4.6065481124745995E-4</v>
      </c>
      <c r="R541">
        <v>5.9313431430126756E-4</v>
      </c>
      <c r="S541">
        <v>6.0460632995715302E-2</v>
      </c>
      <c r="T541">
        <v>1.0757341993764562</v>
      </c>
      <c r="U541">
        <v>0</v>
      </c>
      <c r="V541">
        <v>9.8094534659086338E-2</v>
      </c>
      <c r="W541">
        <v>3.5801891655381314E-2</v>
      </c>
      <c r="X541">
        <v>7.7278127401231942E-3</v>
      </c>
      <c r="Y541">
        <v>1.61431607685389E-3</v>
      </c>
    </row>
    <row r="542" spans="1:25" x14ac:dyDescent="0.25">
      <c r="A542" s="1096"/>
      <c r="B542" s="1455">
        <v>292</v>
      </c>
      <c r="C542" s="1100">
        <v>1.0063790221586044</v>
      </c>
      <c r="D542" s="1100">
        <v>0.97405669588399102</v>
      </c>
      <c r="E542" s="1100">
        <v>0.98738003046518086</v>
      </c>
      <c r="F542" s="1100">
        <v>0.99293603948817921</v>
      </c>
      <c r="G542" s="1100">
        <v>0.99493502601144268</v>
      </c>
      <c r="H542" s="1100">
        <v>0.99313612837030774</v>
      </c>
      <c r="I542" s="1100">
        <v>0.99196192383909798</v>
      </c>
      <c r="K542">
        <v>1.306778410375169</v>
      </c>
      <c r="L542">
        <v>0</v>
      </c>
      <c r="M542">
        <v>6.1526277770061115E-4</v>
      </c>
      <c r="N542">
        <v>5.4457201039004109E-2</v>
      </c>
      <c r="O542">
        <v>7.7911603656425901E-3</v>
      </c>
      <c r="P542">
        <v>1.5985221185048037E-2</v>
      </c>
      <c r="Q542">
        <v>4.4538348534039031E-4</v>
      </c>
      <c r="R542">
        <v>6.1343469567206395E-4</v>
      </c>
      <c r="S542">
        <v>6.0329926986340383E-2</v>
      </c>
      <c r="T542">
        <v>1.0254614541539251</v>
      </c>
      <c r="U542">
        <v>0</v>
      </c>
      <c r="V542">
        <v>9.7303185783604265E-2</v>
      </c>
      <c r="W542">
        <v>3.6045372664851832E-2</v>
      </c>
      <c r="X542">
        <v>7.2917657705152327E-3</v>
      </c>
      <c r="Y542">
        <v>1.6695670229262775E-3</v>
      </c>
    </row>
    <row r="543" spans="1:25" x14ac:dyDescent="0.25">
      <c r="A543" s="1096"/>
      <c r="B543" s="1455">
        <v>293</v>
      </c>
      <c r="C543" s="1100">
        <v>0.98723209797501055</v>
      </c>
      <c r="D543" s="1100">
        <v>0.96863206784543943</v>
      </c>
      <c r="E543" s="1100">
        <v>0.97724312663804846</v>
      </c>
      <c r="F543" s="1100">
        <v>0.96801147116466391</v>
      </c>
      <c r="G543" s="1100">
        <v>0.9635706018973863</v>
      </c>
      <c r="H543" s="1100">
        <v>0.99360760276916993</v>
      </c>
      <c r="I543" s="1100">
        <v>1.0308205458170216</v>
      </c>
      <c r="K543">
        <v>1.2849949867487154</v>
      </c>
      <c r="L543">
        <v>0</v>
      </c>
      <c r="M543">
        <v>6.422229202193453E-4</v>
      </c>
      <c r="N543">
        <v>5.5126850726526844E-2</v>
      </c>
      <c r="O543">
        <v>7.9574826122971124E-3</v>
      </c>
      <c r="P543">
        <v>1.5558292536629529E-2</v>
      </c>
      <c r="Q543">
        <v>4.5023454500042493E-4</v>
      </c>
      <c r="R543">
        <v>6.4031563908327038E-4</v>
      </c>
      <c r="S543">
        <v>6.4106124783325058E-2</v>
      </c>
      <c r="T543">
        <v>1.0000176961854133</v>
      </c>
      <c r="U543">
        <v>0</v>
      </c>
      <c r="V543">
        <v>9.6252342258622489E-2</v>
      </c>
      <c r="W543">
        <v>3.6712233218065E-2</v>
      </c>
      <c r="X543">
        <v>7.0729090743806783E-3</v>
      </c>
      <c r="Y543">
        <v>1.7427280895909673E-3</v>
      </c>
    </row>
    <row r="544" spans="1:25" x14ac:dyDescent="0.25">
      <c r="A544" s="1096"/>
      <c r="B544" s="1455">
        <v>294</v>
      </c>
      <c r="C544" s="1100">
        <v>1.0037402468138599</v>
      </c>
      <c r="D544" s="1100">
        <v>0.99558394878225009</v>
      </c>
      <c r="E544" s="1100">
        <v>1.0012543539349368</v>
      </c>
      <c r="F544" s="1100">
        <v>1.0091572815029421</v>
      </c>
      <c r="G544" s="1100">
        <v>0.99975474340673254</v>
      </c>
      <c r="H544" s="1100">
        <v>0.99931764214434893</v>
      </c>
      <c r="I544" s="1100">
        <v>0.97688383380846233</v>
      </c>
      <c r="K544">
        <v>1.3236344746645545</v>
      </c>
      <c r="L544">
        <v>0</v>
      </c>
      <c r="M544">
        <v>5.9787508423085264E-4</v>
      </c>
      <c r="N544">
        <v>5.5185527576146226E-2</v>
      </c>
      <c r="O544">
        <v>7.7470318927031906E-3</v>
      </c>
      <c r="P544">
        <v>1.6362462362312247E-2</v>
      </c>
      <c r="Q544">
        <v>4.4910012536578863E-4</v>
      </c>
      <c r="R544">
        <v>5.9610965335064859E-4</v>
      </c>
      <c r="S544">
        <v>5.9070765788403111E-2</v>
      </c>
      <c r="T544">
        <v>1.0417949262257549</v>
      </c>
      <c r="U544">
        <v>0</v>
      </c>
      <c r="V544">
        <v>9.7616480567626063E-2</v>
      </c>
      <c r="W544">
        <v>3.6226136178868711E-2</v>
      </c>
      <c r="X544">
        <v>7.5613954093272434E-3</v>
      </c>
      <c r="Y544">
        <v>1.6224139689260506E-3</v>
      </c>
    </row>
    <row r="545" spans="1:25" x14ac:dyDescent="0.25">
      <c r="A545" s="1096"/>
      <c r="B545" s="1455">
        <v>295</v>
      </c>
      <c r="C545" s="1100">
        <v>0.98020103029128614</v>
      </c>
      <c r="D545" s="1100">
        <v>1.0434582698273829</v>
      </c>
      <c r="E545" s="1100">
        <v>0.99022132928200279</v>
      </c>
      <c r="F545" s="1100">
        <v>1.0163634296822079</v>
      </c>
      <c r="G545" s="1100">
        <v>1.0267189711764282</v>
      </c>
      <c r="H545" s="1100">
        <v>0.97079640042983817</v>
      </c>
      <c r="I545" s="1100">
        <v>0.96890447118848833</v>
      </c>
      <c r="K545">
        <v>1.3288778478157288</v>
      </c>
      <c r="L545">
        <v>0</v>
      </c>
      <c r="M545">
        <v>5.9719335708771973E-4</v>
      </c>
      <c r="N545">
        <v>5.3310283011748345E-2</v>
      </c>
      <c r="O545">
        <v>7.7827161902245846E-3</v>
      </c>
      <c r="P545">
        <v>1.6339330886358455E-2</v>
      </c>
      <c r="Q545">
        <v>4.4618116669619063E-4</v>
      </c>
      <c r="R545">
        <v>5.953781313981617E-4</v>
      </c>
      <c r="S545">
        <v>5.7647629508169172E-2</v>
      </c>
      <c r="T545">
        <v>1.0495693301808211</v>
      </c>
      <c r="U545">
        <v>0</v>
      </c>
      <c r="V545">
        <v>9.9501410775541588E-2</v>
      </c>
      <c r="W545">
        <v>3.5226157522197377E-2</v>
      </c>
      <c r="X545">
        <v>7.4362007923420362E-3</v>
      </c>
      <c r="Y545">
        <v>1.6204230073175287E-3</v>
      </c>
    </row>
    <row r="546" spans="1:25" x14ac:dyDescent="0.25">
      <c r="A546" s="1096"/>
      <c r="B546" s="1455">
        <v>296</v>
      </c>
      <c r="C546" s="1100">
        <v>0.96190447079453223</v>
      </c>
      <c r="D546" s="1100">
        <v>1.0138421985170774</v>
      </c>
      <c r="E546" s="1100">
        <v>0.9843695635650066</v>
      </c>
      <c r="F546" s="1100">
        <v>1.008814388772115</v>
      </c>
      <c r="G546" s="1100">
        <v>0.98829686926844684</v>
      </c>
      <c r="H546" s="1100">
        <v>1.0020975316127902</v>
      </c>
      <c r="I546" s="1100">
        <v>1.0355606738543235</v>
      </c>
      <c r="K546">
        <v>1.3325406137205924</v>
      </c>
      <c r="L546">
        <v>0</v>
      </c>
      <c r="M546">
        <v>6.4319556897030939E-4</v>
      </c>
      <c r="N546">
        <v>5.6415074259472182E-2</v>
      </c>
      <c r="O546">
        <v>8.0211391653146405E-3</v>
      </c>
      <c r="P546">
        <v>1.6242205432185425E-2</v>
      </c>
      <c r="Q546">
        <v>4.5713395638221466E-4</v>
      </c>
      <c r="R546">
        <v>6.4130158251070346E-4</v>
      </c>
      <c r="S546">
        <v>6.4781900798995221E-2</v>
      </c>
      <c r="T546">
        <v>1.0419516050204527</v>
      </c>
      <c r="U546">
        <v>0</v>
      </c>
      <c r="V546">
        <v>9.8117068272578767E-2</v>
      </c>
      <c r="W546">
        <v>3.7408919043551696E-2</v>
      </c>
      <c r="X546">
        <v>7.402050255535593E-3</v>
      </c>
      <c r="Y546">
        <v>1.7454115025842766E-3</v>
      </c>
    </row>
    <row r="547" spans="1:25" x14ac:dyDescent="0.25">
      <c r="A547" s="1096"/>
      <c r="B547" s="1455">
        <v>297</v>
      </c>
      <c r="C547" s="1100">
        <v>0.98787572171551541</v>
      </c>
      <c r="D547" s="1100">
        <v>1.0084830214791536</v>
      </c>
      <c r="E547" s="1100">
        <v>1.0403151587673907</v>
      </c>
      <c r="F547" s="1100">
        <v>0.98878036387977397</v>
      </c>
      <c r="G547" s="1100">
        <v>0.9764667292313729</v>
      </c>
      <c r="H547" s="1100">
        <v>0.99666298753546578</v>
      </c>
      <c r="I547" s="1100">
        <v>0.97893234100792015</v>
      </c>
      <c r="K547">
        <v>1.3053993856253265</v>
      </c>
      <c r="L547">
        <v>0</v>
      </c>
      <c r="M547">
        <v>5.5569705850800125E-4</v>
      </c>
      <c r="N547">
        <v>5.7706256249828697E-2</v>
      </c>
      <c r="O547">
        <v>7.8407194104598739E-3</v>
      </c>
      <c r="P547">
        <v>1.6525072397203119E-2</v>
      </c>
      <c r="Q547">
        <v>4.7252142212368822E-4</v>
      </c>
      <c r="R547">
        <v>5.5405180211945328E-4</v>
      </c>
      <c r="S547">
        <v>5.9689065182988284E-2</v>
      </c>
      <c r="T547">
        <v>1.0196332058869981</v>
      </c>
      <c r="U547">
        <v>0</v>
      </c>
      <c r="V547">
        <v>9.6930227817296849E-2</v>
      </c>
      <c r="W547">
        <v>3.7025469076524146E-2</v>
      </c>
      <c r="X547">
        <v>8.0705470760490481E-3</v>
      </c>
      <c r="Y547">
        <v>1.5079463622416696E-3</v>
      </c>
    </row>
    <row r="548" spans="1:25" x14ac:dyDescent="0.25">
      <c r="A548" s="1096"/>
      <c r="B548" s="1455">
        <v>298</v>
      </c>
      <c r="C548" s="1100">
        <v>0.97157105144979083</v>
      </c>
      <c r="D548" s="1100">
        <v>0.9740811732628355</v>
      </c>
      <c r="E548" s="1100">
        <v>0.99909598949951506</v>
      </c>
      <c r="F548" s="1100">
        <v>1.0227417147521141</v>
      </c>
      <c r="G548" s="1100">
        <v>0.95242472627868591</v>
      </c>
      <c r="H548" s="1100">
        <v>0.97411868801238122</v>
      </c>
      <c r="I548" s="1100">
        <v>0.98936857809903722</v>
      </c>
      <c r="K548">
        <v>1.3408912140663443</v>
      </c>
      <c r="L548">
        <v>0</v>
      </c>
      <c r="M548">
        <v>6.1010288544505165E-4</v>
      </c>
      <c r="N548">
        <v>5.5943882351057551E-2</v>
      </c>
      <c r="O548">
        <v>8.0731972815388919E-3</v>
      </c>
      <c r="P548">
        <v>1.6544487948333641E-2</v>
      </c>
      <c r="Q548">
        <v>4.6699396525814877E-4</v>
      </c>
      <c r="R548">
        <v>6.0825474478365296E-4</v>
      </c>
      <c r="S548">
        <v>6.1741310116851411E-2</v>
      </c>
      <c r="T548">
        <v>1.0558843936230093</v>
      </c>
      <c r="U548">
        <v>0</v>
      </c>
      <c r="V548">
        <v>9.6141914818308319E-2</v>
      </c>
      <c r="W548">
        <v>3.6771086327043512E-2</v>
      </c>
      <c r="X548">
        <v>7.6703268714245747E-3</v>
      </c>
      <c r="Y548">
        <v>1.6554689041783743E-3</v>
      </c>
    </row>
    <row r="549" spans="1:25" x14ac:dyDescent="0.25">
      <c r="A549" s="1096"/>
      <c r="B549" s="1455">
        <v>299</v>
      </c>
      <c r="C549" s="1100">
        <v>0.98725340421002217</v>
      </c>
      <c r="D549" s="1100">
        <v>1.0306288470041403</v>
      </c>
      <c r="E549" s="1100">
        <v>1.0232913317427368</v>
      </c>
      <c r="F549" s="1100">
        <v>0.98184103911566556</v>
      </c>
      <c r="G549" s="1100">
        <v>1.0173423301819353</v>
      </c>
      <c r="H549" s="1100">
        <v>1.007690207103705</v>
      </c>
      <c r="I549" s="1100">
        <v>1.0086352393595621</v>
      </c>
      <c r="K549">
        <v>1.3007579635103936</v>
      </c>
      <c r="L549">
        <v>0</v>
      </c>
      <c r="M549">
        <v>5.7746704919113968E-4</v>
      </c>
      <c r="N549">
        <v>5.6969349389767644E-2</v>
      </c>
      <c r="O549">
        <v>7.7735859454182649E-3</v>
      </c>
      <c r="P549">
        <v>1.6277361751375358E-2</v>
      </c>
      <c r="Q549">
        <v>4.6066414947332343E-4</v>
      </c>
      <c r="R549">
        <v>5.7577604770866391E-4</v>
      </c>
      <c r="S549">
        <v>6.1149820600685391E-2</v>
      </c>
      <c r="T549">
        <v>1.0129591083923513</v>
      </c>
      <c r="U549">
        <v>0</v>
      </c>
      <c r="V549">
        <v>9.8904602457418347E-2</v>
      </c>
      <c r="W549">
        <v>3.6915143793449838E-2</v>
      </c>
      <c r="X549">
        <v>7.7829454345968814E-3</v>
      </c>
      <c r="Y549">
        <v>1.5670725973398673E-3</v>
      </c>
    </row>
    <row r="550" spans="1:25" x14ac:dyDescent="0.25">
      <c r="A550" s="1096"/>
      <c r="B550" s="1455">
        <v>300</v>
      </c>
      <c r="C550" s="1100">
        <v>0.99994901044026063</v>
      </c>
      <c r="D550" s="1100">
        <v>1.001066966873019</v>
      </c>
      <c r="E550" s="1100">
        <v>1.0144023720597339</v>
      </c>
      <c r="F550" s="1100">
        <v>0.9924562003195514</v>
      </c>
      <c r="G550" s="1100">
        <v>1.0299772819449085</v>
      </c>
      <c r="H550" s="1100">
        <v>0.96757195112864081</v>
      </c>
      <c r="I550" s="1100">
        <v>1.0228477158042204</v>
      </c>
      <c r="K550">
        <v>1.3075018683255375</v>
      </c>
      <c r="L550">
        <v>0</v>
      </c>
      <c r="M550">
        <v>5.6418395776826682E-4</v>
      </c>
      <c r="N550">
        <v>5.4179480938374415E-2</v>
      </c>
      <c r="O550">
        <v>7.7625692637332032E-3</v>
      </c>
      <c r="P550">
        <v>1.6326857891821131E-2</v>
      </c>
      <c r="Q550">
        <v>4.5596156617534452E-4</v>
      </c>
      <c r="R550">
        <v>5.6246335236932331E-4</v>
      </c>
      <c r="S550">
        <v>6.092376349569565E-2</v>
      </c>
      <c r="T550">
        <v>1.0241683470791767</v>
      </c>
      <c r="U550">
        <v>0</v>
      </c>
      <c r="V550">
        <v>9.9187024208765975E-2</v>
      </c>
      <c r="W550">
        <v>3.5290576560071424E-2</v>
      </c>
      <c r="X550">
        <v>7.678168097966882E-3</v>
      </c>
      <c r="Y550">
        <v>1.5308398291550205E-3</v>
      </c>
    </row>
    <row r="551" spans="1:25" x14ac:dyDescent="0.25">
      <c r="A551" s="1096"/>
      <c r="B551" s="1455">
        <v>301</v>
      </c>
      <c r="C551" s="1100">
        <v>0.99907336911317957</v>
      </c>
      <c r="D551" s="1100">
        <v>1.0177314102800838</v>
      </c>
      <c r="E551" s="1100">
        <v>1.0169214609292809</v>
      </c>
      <c r="F551" s="1100">
        <v>1.0336927142347272</v>
      </c>
      <c r="G551" s="1100">
        <v>0.9831223240932484</v>
      </c>
      <c r="H551" s="1100">
        <v>0.97330574691598404</v>
      </c>
      <c r="I551" s="1100">
        <v>1.0165008309215215</v>
      </c>
      <c r="K551">
        <v>1.3479746509283081</v>
      </c>
      <c r="L551">
        <v>0</v>
      </c>
      <c r="M551">
        <v>5.6133794055321568E-4</v>
      </c>
      <c r="N551">
        <v>5.4318506666087119E-2</v>
      </c>
      <c r="O551">
        <v>7.7188500927338963E-3</v>
      </c>
      <c r="P551">
        <v>1.6903396429992983E-2</v>
      </c>
      <c r="Q551">
        <v>4.5453316460181527E-4</v>
      </c>
      <c r="R551">
        <v>5.5963609976738128E-4</v>
      </c>
      <c r="S551">
        <v>6.0241974706042048E-2</v>
      </c>
      <c r="T551">
        <v>1.066646204515304</v>
      </c>
      <c r="U551">
        <v>0</v>
      </c>
      <c r="V551">
        <v>9.6944653086216498E-2</v>
      </c>
      <c r="W551">
        <v>3.532884862295705E-2</v>
      </c>
      <c r="X551">
        <v>7.8962405055806699E-3</v>
      </c>
      <c r="Y551">
        <v>1.5231449795761046E-3</v>
      </c>
    </row>
    <row r="552" spans="1:25" x14ac:dyDescent="0.25">
      <c r="A552" s="1096"/>
      <c r="B552" s="1455">
        <v>302</v>
      </c>
      <c r="C552" s="1100">
        <v>0.99458320625431196</v>
      </c>
      <c r="D552" s="1100">
        <v>0.98373113644616106</v>
      </c>
      <c r="E552" s="1100">
        <v>1.0110300735406288</v>
      </c>
      <c r="F552" s="1100">
        <v>0.98706481621606146</v>
      </c>
      <c r="G552" s="1100">
        <v>1.0058072373452092</v>
      </c>
      <c r="H552" s="1100">
        <v>0.96747938935121669</v>
      </c>
      <c r="I552" s="1100">
        <v>1.0191603568018939</v>
      </c>
      <c r="K552">
        <v>1.3025202027226743</v>
      </c>
      <c r="L552">
        <v>0</v>
      </c>
      <c r="M552">
        <v>5.7516773826613097E-4</v>
      </c>
      <c r="N552">
        <v>5.46748806082979E-2</v>
      </c>
      <c r="O552">
        <v>7.8583346035600247E-3</v>
      </c>
      <c r="P552">
        <v>1.620617324115748E-2</v>
      </c>
      <c r="Q552">
        <v>4.6003557338857888E-4</v>
      </c>
      <c r="R552">
        <v>5.7341346754685696E-4</v>
      </c>
      <c r="S552">
        <v>6.1602557931388496E-2</v>
      </c>
      <c r="T552">
        <v>1.0187025105478669</v>
      </c>
      <c r="U552">
        <v>0</v>
      </c>
      <c r="V552">
        <v>9.8147587061974184E-2</v>
      </c>
      <c r="W552">
        <v>3.5684000268518194E-2</v>
      </c>
      <c r="X552">
        <v>7.6252347242775458E-3</v>
      </c>
      <c r="Y552">
        <v>1.56064243296377E-3</v>
      </c>
    </row>
    <row r="553" spans="1:25" x14ac:dyDescent="0.25">
      <c r="A553" s="1096"/>
      <c r="B553" s="1455">
        <v>303</v>
      </c>
      <c r="C553" s="1100">
        <v>0.96913057286976978</v>
      </c>
      <c r="D553" s="1100">
        <v>0.99895503901567551</v>
      </c>
      <c r="E553" s="1100">
        <v>0.95733907563666387</v>
      </c>
      <c r="F553" s="1100">
        <v>0.99473314186743989</v>
      </c>
      <c r="G553" s="1100">
        <v>0.96564212746039046</v>
      </c>
      <c r="H553" s="1100">
        <v>1.0040190819982899</v>
      </c>
      <c r="I553" s="1100">
        <v>0.99598512584814947</v>
      </c>
      <c r="K553">
        <v>1.3123301385837833</v>
      </c>
      <c r="L553">
        <v>0</v>
      </c>
      <c r="M553">
        <v>6.803505806388749E-4</v>
      </c>
      <c r="N553">
        <v>5.4985047909431935E-2</v>
      </c>
      <c r="O553">
        <v>8.0017621026429436E-3</v>
      </c>
      <c r="P553">
        <v>1.5678865171071508E-2</v>
      </c>
      <c r="Q553">
        <v>4.4360891184722822E-4</v>
      </c>
      <c r="R553">
        <v>6.7835101985232865E-4</v>
      </c>
      <c r="S553">
        <v>6.2367122951181325E-2</v>
      </c>
      <c r="T553">
        <v>1.0282316034935142</v>
      </c>
      <c r="U553">
        <v>0</v>
      </c>
      <c r="V553">
        <v>9.6799302398817011E-2</v>
      </c>
      <c r="W553">
        <v>3.7065067055041014E-2</v>
      </c>
      <c r="X553">
        <v>6.9135102933385031E-3</v>
      </c>
      <c r="Y553">
        <v>1.8462478576844433E-3</v>
      </c>
    </row>
    <row r="554" spans="1:25" x14ac:dyDescent="0.25">
      <c r="A554" s="1096"/>
      <c r="B554" s="1455">
        <v>304</v>
      </c>
      <c r="C554" s="1100">
        <v>0.96576442228321635</v>
      </c>
      <c r="D554" s="1100">
        <v>1.0014752917389751</v>
      </c>
      <c r="E554" s="1100">
        <v>0.97695375654172789</v>
      </c>
      <c r="F554" s="1100">
        <v>1.0250224473700815</v>
      </c>
      <c r="G554" s="1100">
        <v>0.98884283649662708</v>
      </c>
      <c r="H554" s="1100">
        <v>1.0326909175435794</v>
      </c>
      <c r="I554" s="1100">
        <v>1.0251683373672176</v>
      </c>
      <c r="K554">
        <v>1.3525741514580016</v>
      </c>
      <c r="L554">
        <v>0</v>
      </c>
      <c r="M554">
        <v>6.7368441513203576E-4</v>
      </c>
      <c r="N554">
        <v>5.7783323396003526E-2</v>
      </c>
      <c r="O554">
        <v>8.0265190734247777E-3</v>
      </c>
      <c r="P554">
        <v>1.6384038473976698E-2</v>
      </c>
      <c r="Q554">
        <v>4.5400686367433942E-4</v>
      </c>
      <c r="R554">
        <v>6.7175941855541013E-4</v>
      </c>
      <c r="S554">
        <v>6.5280041230815905E-2</v>
      </c>
      <c r="T554">
        <v>1.0589227087736952</v>
      </c>
      <c r="U554">
        <v>0</v>
      </c>
      <c r="V554">
        <v>9.8032240462631828E-2</v>
      </c>
      <c r="W554">
        <v>3.848807548215423E-2</v>
      </c>
      <c r="X554">
        <v>7.3768150063270813E-3</v>
      </c>
      <c r="Y554">
        <v>1.828307691875014E-3</v>
      </c>
    </row>
    <row r="555" spans="1:25" x14ac:dyDescent="0.25">
      <c r="A555" s="1096"/>
      <c r="B555" s="1455">
        <v>305</v>
      </c>
      <c r="C555" s="1100">
        <v>1.0018729215115398</v>
      </c>
      <c r="D555" s="1100">
        <v>1.0092451242255089</v>
      </c>
      <c r="E555" s="1100">
        <v>1.0143747664417142</v>
      </c>
      <c r="F555" s="1100">
        <v>0.99268114679503205</v>
      </c>
      <c r="G555" s="1100">
        <v>0.99006186815279729</v>
      </c>
      <c r="H555" s="1100">
        <v>1.0180707509126863</v>
      </c>
      <c r="I555" s="1100">
        <v>1.0140477479508252</v>
      </c>
      <c r="K555">
        <v>1.310627804712367</v>
      </c>
      <c r="L555">
        <v>0</v>
      </c>
      <c r="M555">
        <v>5.9059824448950331E-4</v>
      </c>
      <c r="N555">
        <v>5.6719966928421184E-2</v>
      </c>
      <c r="O555">
        <v>7.7224821488800924E-3</v>
      </c>
      <c r="P555">
        <v>1.6311434262270014E-2</v>
      </c>
      <c r="Q555">
        <v>4.535944226023956E-4</v>
      </c>
      <c r="R555">
        <v>5.8888642483023181E-4</v>
      </c>
      <c r="S555">
        <v>6.1575427912155999E-2</v>
      </c>
      <c r="T555">
        <v>1.0244012852595576</v>
      </c>
      <c r="U555">
        <v>0</v>
      </c>
      <c r="V555">
        <v>9.7208220532005743E-2</v>
      </c>
      <c r="W555">
        <v>3.6945957632757702E-2</v>
      </c>
      <c r="X555">
        <v>7.6883927113450832E-3</v>
      </c>
      <c r="Y555">
        <v>1.6027547220301178E-3</v>
      </c>
    </row>
    <row r="556" spans="1:25" x14ac:dyDescent="0.25">
      <c r="A556" s="1096"/>
      <c r="B556" s="1455">
        <v>306</v>
      </c>
      <c r="C556" s="1100">
        <v>1.0068398499035986</v>
      </c>
      <c r="D556" s="1100">
        <v>1.0117203227987366</v>
      </c>
      <c r="E556" s="1100">
        <v>1.0010346089465729</v>
      </c>
      <c r="F556" s="1100">
        <v>1.0287347026474996</v>
      </c>
      <c r="G556" s="1100">
        <v>1.0006590441251904</v>
      </c>
      <c r="H556" s="1100">
        <v>0.98908079349781974</v>
      </c>
      <c r="I556" s="1100">
        <v>1.0389688329779283</v>
      </c>
      <c r="K556">
        <v>1.3449951718073594</v>
      </c>
      <c r="L556">
        <v>0</v>
      </c>
      <c r="M556">
        <v>5.8641432478032649E-4</v>
      </c>
      <c r="N556">
        <v>5.4090089440060107E-2</v>
      </c>
      <c r="O556">
        <v>7.6736189974296529E-3</v>
      </c>
      <c r="P556">
        <v>1.6672192745686532E-2</v>
      </c>
      <c r="Q556">
        <v>4.4474614987126643E-4</v>
      </c>
      <c r="R556">
        <v>5.8466481401023512E-4</v>
      </c>
      <c r="S556">
        <v>6.1772552957981799E-2</v>
      </c>
      <c r="T556">
        <v>1.0620122312027307</v>
      </c>
      <c r="U556">
        <v>0</v>
      </c>
      <c r="V556">
        <v>9.7583970884416768E-2</v>
      </c>
      <c r="W556">
        <v>3.5511677312105368E-2</v>
      </c>
      <c r="X556">
        <v>7.6445767388153181E-3</v>
      </c>
      <c r="Y556">
        <v>1.59126488903172E-3</v>
      </c>
    </row>
    <row r="557" spans="1:25" x14ac:dyDescent="0.25">
      <c r="A557" s="1096"/>
      <c r="B557" s="1455">
        <v>307</v>
      </c>
      <c r="C557" s="1100">
        <v>1.0148818878285037</v>
      </c>
      <c r="D557" s="1100">
        <v>1.0088500295043581</v>
      </c>
      <c r="E557" s="1100">
        <v>1.0138331036054951</v>
      </c>
      <c r="F557" s="1100">
        <v>1.0465833225272643</v>
      </c>
      <c r="G557" s="1100">
        <v>1.0046597778901656</v>
      </c>
      <c r="H557" s="1100">
        <v>0.98793730812333991</v>
      </c>
      <c r="I557" s="1100">
        <v>0.98051040063975425</v>
      </c>
      <c r="K557">
        <v>1.3597641295731997</v>
      </c>
      <c r="L557">
        <v>0</v>
      </c>
      <c r="M557">
        <v>5.6649718323726716E-4</v>
      </c>
      <c r="N557">
        <v>5.4311661055976589E-2</v>
      </c>
      <c r="O557">
        <v>7.6245570268012606E-3</v>
      </c>
      <c r="P557">
        <v>1.7026338558003052E-2</v>
      </c>
      <c r="Q557">
        <v>4.476007291614177E-4</v>
      </c>
      <c r="R557">
        <v>5.6480513715448355E-4</v>
      </c>
      <c r="S557">
        <v>5.7901534177821921E-2</v>
      </c>
      <c r="T557">
        <v>1.080042487342044</v>
      </c>
      <c r="U557">
        <v>0</v>
      </c>
      <c r="V557">
        <v>9.7596732013817439E-2</v>
      </c>
      <c r="W557">
        <v>3.5388512877539198E-2</v>
      </c>
      <c r="X557">
        <v>7.8891844427477764E-3</v>
      </c>
      <c r="Y557">
        <v>1.5372133953710802E-3</v>
      </c>
    </row>
    <row r="558" spans="1:25" x14ac:dyDescent="0.25">
      <c r="A558" s="1096"/>
      <c r="B558" s="1455">
        <v>308</v>
      </c>
      <c r="C558" s="1100">
        <v>1.0191824717093545</v>
      </c>
      <c r="D558" s="1100">
        <v>1.0145288532331118</v>
      </c>
      <c r="E558" s="1100">
        <v>1.0122594243625769</v>
      </c>
      <c r="F558" s="1100">
        <v>1.0090527187593803</v>
      </c>
      <c r="G558" s="1100">
        <v>0.98789264596629178</v>
      </c>
      <c r="H558" s="1100">
        <v>0.97661212230462446</v>
      </c>
      <c r="I558" s="1100">
        <v>1.0046776697160635</v>
      </c>
      <c r="K558">
        <v>1.3182622161335857</v>
      </c>
      <c r="L558">
        <v>0</v>
      </c>
      <c r="M558">
        <v>5.5821233549184035E-4</v>
      </c>
      <c r="N558">
        <v>5.3261921316221511E-2</v>
      </c>
      <c r="O558">
        <v>7.5749785547198929E-3</v>
      </c>
      <c r="P558">
        <v>1.6470619852064192E-2</v>
      </c>
      <c r="Q558">
        <v>4.4399239357344086E-4</v>
      </c>
      <c r="R558">
        <v>5.5652570038023275E-4</v>
      </c>
      <c r="S558">
        <v>5.8560068940745162E-2</v>
      </c>
      <c r="T558">
        <v>1.0413586825512342</v>
      </c>
      <c r="U558">
        <v>0</v>
      </c>
      <c r="V558">
        <v>9.6680704162814504E-2</v>
      </c>
      <c r="W558">
        <v>3.473666326774167E-2</v>
      </c>
      <c r="X558">
        <v>7.6615922317965369E-3</v>
      </c>
      <c r="Y558">
        <v>1.514679497787169E-3</v>
      </c>
    </row>
    <row r="559" spans="1:25" x14ac:dyDescent="0.25">
      <c r="A559" s="1096"/>
      <c r="B559" s="1455">
        <v>309</v>
      </c>
      <c r="C559" s="1100">
        <v>1.0023612815036509</v>
      </c>
      <c r="D559" s="1100">
        <v>1.0003391526309184</v>
      </c>
      <c r="E559" s="1100">
        <v>0.97218784394067237</v>
      </c>
      <c r="F559" s="1100">
        <v>0.97745352351339387</v>
      </c>
      <c r="G559" s="1100">
        <v>1.0121761364472046</v>
      </c>
      <c r="H559" s="1100">
        <v>1.012898860843547</v>
      </c>
      <c r="I559" s="1100">
        <v>0.97309865236769133</v>
      </c>
      <c r="K559">
        <v>1.2904859730836715</v>
      </c>
      <c r="L559">
        <v>0</v>
      </c>
      <c r="M559">
        <v>6.4323924283224583E-4</v>
      </c>
      <c r="N559">
        <v>5.4378745865645041E-2</v>
      </c>
      <c r="O559">
        <v>7.7358155991677337E-3</v>
      </c>
      <c r="P559">
        <v>1.5590666113531554E-2</v>
      </c>
      <c r="Q559">
        <v>4.3544285098003326E-4</v>
      </c>
      <c r="R559">
        <v>6.4136532619210856E-4</v>
      </c>
      <c r="S559">
        <v>5.9147283811481696E-2</v>
      </c>
      <c r="T559">
        <v>1.0099227542224136</v>
      </c>
      <c r="U559">
        <v>0</v>
      </c>
      <c r="V559">
        <v>9.8219018423610582E-2</v>
      </c>
      <c r="W559">
        <v>3.6325203789584058E-2</v>
      </c>
      <c r="X559">
        <v>6.9873313320241871E-3</v>
      </c>
      <c r="Y559">
        <v>1.7455849918719621E-3</v>
      </c>
    </row>
    <row r="560" spans="1:25" x14ac:dyDescent="0.25">
      <c r="A560" s="1096"/>
      <c r="B560" s="1455">
        <v>310</v>
      </c>
      <c r="C560" s="1100">
        <v>0.99474996389614545</v>
      </c>
      <c r="D560" s="1100">
        <v>1.0005113314892717</v>
      </c>
      <c r="E560" s="1100">
        <v>0.98645727727071808</v>
      </c>
      <c r="F560" s="1100">
        <v>0.96394907985396072</v>
      </c>
      <c r="G560" s="1100">
        <v>1.0124798468298106</v>
      </c>
      <c r="H560" s="1100">
        <v>0.97943947774535889</v>
      </c>
      <c r="I560" s="1100">
        <v>0.9789717627806207</v>
      </c>
      <c r="K560">
        <v>1.2748207656360806</v>
      </c>
      <c r="L560">
        <v>0</v>
      </c>
      <c r="M560">
        <v>6.0848737018570588E-4</v>
      </c>
      <c r="N560">
        <v>5.3705187492694324E-2</v>
      </c>
      <c r="O560">
        <v>7.7979783307267061E-3</v>
      </c>
      <c r="P560">
        <v>1.5567150446751997E-2</v>
      </c>
      <c r="Q560">
        <v>4.4535695156782887E-4</v>
      </c>
      <c r="R560">
        <v>6.0665413669825719E-4</v>
      </c>
      <c r="S560">
        <v>5.8962734467653127E-2</v>
      </c>
      <c r="T560">
        <v>0.99555179730515952</v>
      </c>
      <c r="U560">
        <v>0</v>
      </c>
      <c r="V560">
        <v>9.8438676940132058E-2</v>
      </c>
      <c r="W560">
        <v>3.5567316437937598E-2</v>
      </c>
      <c r="X560">
        <v>7.1352879203351828E-3</v>
      </c>
      <c r="Y560">
        <v>1.65111257661024E-3</v>
      </c>
    </row>
    <row r="561" spans="1:25" x14ac:dyDescent="0.25">
      <c r="A561" s="1096"/>
      <c r="B561" s="1455">
        <v>311</v>
      </c>
      <c r="C561" s="1100">
        <v>0.95886533084748515</v>
      </c>
      <c r="D561" s="1100">
        <v>0.99127389940395971</v>
      </c>
      <c r="E561" s="1100">
        <v>1.0303934012936369</v>
      </c>
      <c r="F561" s="1100">
        <v>1.01259960920369</v>
      </c>
      <c r="G561" s="1100">
        <v>1.0327855839016122</v>
      </c>
      <c r="H561" s="1100">
        <v>0.98308935899699978</v>
      </c>
      <c r="I561" s="1100">
        <v>0.97754659297048951</v>
      </c>
      <c r="K561">
        <v>1.3378434295702413</v>
      </c>
      <c r="L561">
        <v>0</v>
      </c>
      <c r="M561">
        <v>5.8050167004217645E-4</v>
      </c>
      <c r="N561">
        <v>5.8504042506639639E-2</v>
      </c>
      <c r="O561">
        <v>8.1311830022270104E-3</v>
      </c>
      <c r="P561">
        <v>1.6827900072235457E-2</v>
      </c>
      <c r="Q561">
        <v>4.8525672250894806E-4</v>
      </c>
      <c r="R561">
        <v>5.7875924422809096E-4</v>
      </c>
      <c r="S561">
        <v>6.1543449513303414E-2</v>
      </c>
      <c r="T561">
        <v>1.0444841990215754</v>
      </c>
      <c r="U561">
        <v>0</v>
      </c>
      <c r="V561">
        <v>0.10040349640625297</v>
      </c>
      <c r="W561">
        <v>3.7753248067365422E-2</v>
      </c>
      <c r="X561">
        <v>8.1372048090914261E-3</v>
      </c>
      <c r="Y561">
        <v>1.5751918748552797E-3</v>
      </c>
    </row>
    <row r="562" spans="1:25" x14ac:dyDescent="0.25">
      <c r="A562" s="1096"/>
      <c r="B562" s="1455">
        <v>312</v>
      </c>
      <c r="C562" s="1100">
        <v>1.020048013467834</v>
      </c>
      <c r="D562" s="1100">
        <v>0.9832315573005902</v>
      </c>
      <c r="E562" s="1100">
        <v>1.0073641646570126</v>
      </c>
      <c r="F562" s="1100">
        <v>0.96794163049310389</v>
      </c>
      <c r="G562" s="1100">
        <v>1.0255886618848693</v>
      </c>
      <c r="H562" s="1100">
        <v>1.0008255976437659</v>
      </c>
      <c r="I562" s="1100">
        <v>0.96716550112682254</v>
      </c>
      <c r="K562">
        <v>1.2794357937438954</v>
      </c>
      <c r="L562">
        <v>0</v>
      </c>
      <c r="M562">
        <v>5.8469194054676312E-4</v>
      </c>
      <c r="N562">
        <v>5.4974073416486892E-2</v>
      </c>
      <c r="O562">
        <v>7.6628241682286814E-3</v>
      </c>
      <c r="P562">
        <v>1.5847944128818143E-2</v>
      </c>
      <c r="Q562">
        <v>4.4694856214531946E-4</v>
      </c>
      <c r="R562">
        <v>5.8296803875402354E-4</v>
      </c>
      <c r="S562">
        <v>5.798469992595609E-2</v>
      </c>
      <c r="T562">
        <v>0.99907102973398021</v>
      </c>
      <c r="U562">
        <v>0</v>
      </c>
      <c r="V562">
        <v>9.8478345111090243E-2</v>
      </c>
      <c r="W562">
        <v>3.5956964154421768E-2</v>
      </c>
      <c r="X562">
        <v>7.428041618433588E-3</v>
      </c>
      <c r="Y562">
        <v>1.5866468261261256E-3</v>
      </c>
    </row>
    <row r="563" spans="1:25" x14ac:dyDescent="0.25">
      <c r="A563" s="1096"/>
      <c r="B563" s="1455">
        <v>313</v>
      </c>
      <c r="C563" s="1100">
        <v>0.99461527014628304</v>
      </c>
      <c r="D563" s="1100">
        <v>0.9963684070404133</v>
      </c>
      <c r="E563" s="1100">
        <v>0.97917844909930607</v>
      </c>
      <c r="F563" s="1100">
        <v>1.0079073331879864</v>
      </c>
      <c r="G563" s="1100">
        <v>1.0094591068868177</v>
      </c>
      <c r="H563" s="1100">
        <v>1.0192401021921373</v>
      </c>
      <c r="I563" s="1100">
        <v>0.96397438910498512</v>
      </c>
      <c r="K563">
        <v>1.3247745597112019</v>
      </c>
      <c r="L563">
        <v>0</v>
      </c>
      <c r="M563">
        <v>6.4397591375823615E-4</v>
      </c>
      <c r="N563">
        <v>5.560616435494134E-2</v>
      </c>
      <c r="O563">
        <v>7.8101955327151262E-3</v>
      </c>
      <c r="P563">
        <v>1.6097510458649659E-2</v>
      </c>
      <c r="Q563">
        <v>4.4277200686055712E-4</v>
      </c>
      <c r="R563">
        <v>6.421115230078805E-4</v>
      </c>
      <c r="S563">
        <v>5.9369430523898967E-2</v>
      </c>
      <c r="T563">
        <v>1.0411733396188216</v>
      </c>
      <c r="U563">
        <v>0</v>
      </c>
      <c r="V563">
        <v>9.8287826475988299E-2</v>
      </c>
      <c r="W563">
        <v>3.6988125778069134E-2</v>
      </c>
      <c r="X563">
        <v>7.2534434583856819E-3</v>
      </c>
      <c r="Y563">
        <v>1.7476158936207795E-3</v>
      </c>
    </row>
    <row r="564" spans="1:25" x14ac:dyDescent="0.25">
      <c r="A564" s="1096"/>
      <c r="B564" s="1455">
        <v>314</v>
      </c>
      <c r="C564" s="1100">
        <v>0.99642202036264327</v>
      </c>
      <c r="D564" s="1100">
        <v>1.0342050722829135</v>
      </c>
      <c r="E564" s="1100">
        <v>0.96377200749613179</v>
      </c>
      <c r="F564" s="1100">
        <v>0.99831215610710089</v>
      </c>
      <c r="G564" s="1100">
        <v>1.0131867878785661</v>
      </c>
      <c r="H564" s="1100">
        <v>0.99488727966288981</v>
      </c>
      <c r="I564" s="1100">
        <v>0.97040935228276104</v>
      </c>
      <c r="K564">
        <v>1.3083342410131744</v>
      </c>
      <c r="L564">
        <v>0</v>
      </c>
      <c r="M564">
        <v>6.381467602001754E-4</v>
      </c>
      <c r="N564">
        <v>5.2587899418583516E-2</v>
      </c>
      <c r="O564">
        <v>7.6769412061063452E-3</v>
      </c>
      <c r="P564">
        <v>1.5763563091780602E-2</v>
      </c>
      <c r="Q564">
        <v>4.2842362497201326E-4</v>
      </c>
      <c r="R564">
        <v>6.362540221674938E-4</v>
      </c>
      <c r="S564">
        <v>5.7751886357143498E-2</v>
      </c>
      <c r="T564">
        <v>1.0317324006296198</v>
      </c>
      <c r="U564">
        <v>0</v>
      </c>
      <c r="V564">
        <v>9.8405894860945115E-2</v>
      </c>
      <c r="W564">
        <v>3.5309600042886267E-2</v>
      </c>
      <c r="X564">
        <v>6.9478508119115946E-3</v>
      </c>
      <c r="Y564">
        <v>1.7316737072578801E-3</v>
      </c>
    </row>
    <row r="565" spans="1:25" x14ac:dyDescent="0.25">
      <c r="A565" s="1096"/>
      <c r="B565" s="1455">
        <v>315</v>
      </c>
      <c r="C565" s="1100">
        <v>1.0079431664091678</v>
      </c>
      <c r="D565" s="1100">
        <v>1.0182088908581903</v>
      </c>
      <c r="E565" s="1100">
        <v>1.0218879336002757</v>
      </c>
      <c r="F565" s="1100">
        <v>1.0315762328834388</v>
      </c>
      <c r="G565" s="1100">
        <v>1.0030284658092175</v>
      </c>
      <c r="H565" s="1100">
        <v>1.002226699747234</v>
      </c>
      <c r="I565" s="1100">
        <v>0.99900361202926191</v>
      </c>
      <c r="K565">
        <v>1.3478936052113315</v>
      </c>
      <c r="L565">
        <v>0</v>
      </c>
      <c r="M565">
        <v>5.6693534137593454E-4</v>
      </c>
      <c r="N565">
        <v>5.5693214421883672E-2</v>
      </c>
      <c r="O565">
        <v>7.6506940602828278E-3</v>
      </c>
      <c r="P565">
        <v>1.6933436462344083E-2</v>
      </c>
      <c r="Q565">
        <v>4.5275034516367051E-4</v>
      </c>
      <c r="R565">
        <v>5.6526612982754794E-4</v>
      </c>
      <c r="S565">
        <v>5.9543219837365567E-2</v>
      </c>
      <c r="T565">
        <v>1.0643127092653939</v>
      </c>
      <c r="U565">
        <v>0</v>
      </c>
      <c r="V565">
        <v>9.7694984069487636E-2</v>
      </c>
      <c r="W565">
        <v>3.6117813166806061E-2</v>
      </c>
      <c r="X565">
        <v>7.9579847286892248E-3</v>
      </c>
      <c r="Y565">
        <v>1.5384680654609679E-3</v>
      </c>
    </row>
    <row r="566" spans="1:25" x14ac:dyDescent="0.25">
      <c r="A566" s="1096"/>
      <c r="B566" s="1455">
        <v>316</v>
      </c>
      <c r="C566" s="1100">
        <v>1.0073227795255522</v>
      </c>
      <c r="D566" s="1100">
        <v>0.99104134589160897</v>
      </c>
      <c r="E566" s="1100">
        <v>1.0359507908330094</v>
      </c>
      <c r="F566" s="1100">
        <v>1.0056269574526904</v>
      </c>
      <c r="G566" s="1100">
        <v>0.97525565747606224</v>
      </c>
      <c r="H566" s="1100">
        <v>0.98932970816129329</v>
      </c>
      <c r="I566" s="1100">
        <v>0.99488706425093243</v>
      </c>
      <c r="K566">
        <v>1.320377912092062</v>
      </c>
      <c r="L566">
        <v>0</v>
      </c>
      <c r="M566">
        <v>5.497301926969154E-4</v>
      </c>
      <c r="N566">
        <v>5.6339676902784998E-2</v>
      </c>
      <c r="O566">
        <v>7.7421233212674537E-3</v>
      </c>
      <c r="P566">
        <v>1.6712379921695567E-2</v>
      </c>
      <c r="Q566">
        <v>4.6457947542731336E-4</v>
      </c>
      <c r="R566">
        <v>5.4809053814846578E-4</v>
      </c>
      <c r="S566">
        <v>5.9823956208884622E-2</v>
      </c>
      <c r="T566">
        <v>1.0371311420257439</v>
      </c>
      <c r="U566">
        <v>0</v>
      </c>
      <c r="V566">
        <v>9.6382090658638397E-2</v>
      </c>
      <c r="W566">
        <v>3.6239756818267806E-2</v>
      </c>
      <c r="X566">
        <v>8.0521246470568898E-3</v>
      </c>
      <c r="Y566">
        <v>1.4917217668427814E-3</v>
      </c>
    </row>
    <row r="567" spans="1:25" x14ac:dyDescent="0.25">
      <c r="A567" s="1096"/>
      <c r="B567" s="1455">
        <v>317</v>
      </c>
      <c r="C567" s="1100">
        <v>1.0063137939600528</v>
      </c>
      <c r="D567" s="1100">
        <v>0.97493337258083002</v>
      </c>
      <c r="E567" s="1100">
        <v>1.0323343921029797</v>
      </c>
      <c r="F567" s="1100">
        <v>0.99773842218935282</v>
      </c>
      <c r="G567" s="1100">
        <v>0.98405823595669806</v>
      </c>
      <c r="H567" s="1100">
        <v>1.0273166771213531</v>
      </c>
      <c r="I567" s="1100">
        <v>1.0163578337028969</v>
      </c>
      <c r="K567">
        <v>1.3199166109348748</v>
      </c>
      <c r="L567">
        <v>0</v>
      </c>
      <c r="M567">
        <v>5.7952156130503375E-4</v>
      </c>
      <c r="N567">
        <v>5.8755591419401801E-2</v>
      </c>
      <c r="O567">
        <v>7.7999564543571069E-3</v>
      </c>
      <c r="P567">
        <v>1.6605707633061156E-2</v>
      </c>
      <c r="Q567">
        <v>4.6638310687643431E-4</v>
      </c>
      <c r="R567">
        <v>5.7785696441591103E-4</v>
      </c>
      <c r="S567">
        <v>6.2898084442100724E-2</v>
      </c>
      <c r="T567">
        <v>1.0290992230942431</v>
      </c>
      <c r="U567">
        <v>0</v>
      </c>
      <c r="V567">
        <v>9.682865570071221E-2</v>
      </c>
      <c r="W567">
        <v>3.7872925403401272E-2</v>
      </c>
      <c r="X567">
        <v>8.0190121109666602E-3</v>
      </c>
      <c r="Y567">
        <v>1.5727361666429856E-3</v>
      </c>
    </row>
    <row r="568" spans="1:25" x14ac:dyDescent="0.25">
      <c r="A568" s="1096"/>
      <c r="B568" s="1455">
        <v>318</v>
      </c>
      <c r="C568" s="1100">
        <v>1.0067347069778667</v>
      </c>
      <c r="D568" s="1100">
        <v>1.0072322990488518</v>
      </c>
      <c r="E568" s="1100">
        <v>1.0249209610864563</v>
      </c>
      <c r="F568" s="1100">
        <v>1.0405252591971164</v>
      </c>
      <c r="G568" s="1100">
        <v>1.0034012551259186</v>
      </c>
      <c r="H568" s="1100">
        <v>1.000227455799469</v>
      </c>
      <c r="I568" s="1100">
        <v>0.98588628734734718</v>
      </c>
      <c r="K568">
        <v>1.3574836926223555</v>
      </c>
      <c r="L568">
        <v>0</v>
      </c>
      <c r="M568">
        <v>5.6536396590874268E-4</v>
      </c>
      <c r="N568">
        <v>5.6048902463688578E-2</v>
      </c>
      <c r="O568">
        <v>7.6938995301857084E-3</v>
      </c>
      <c r="P568">
        <v>1.7092793259107817E-2</v>
      </c>
      <c r="Q568">
        <v>4.5667951223641668E-4</v>
      </c>
      <c r="R568">
        <v>5.6369605376161466E-4</v>
      </c>
      <c r="S568">
        <v>5.9117867548599559E-2</v>
      </c>
      <c r="T568">
        <v>1.0734539839270856</v>
      </c>
      <c r="U568">
        <v>0</v>
      </c>
      <c r="V568">
        <v>9.7745957135896178E-2</v>
      </c>
      <c r="W568">
        <v>3.6284211244729178E-2</v>
      </c>
      <c r="X568">
        <v>8.0568710769874357E-3</v>
      </c>
      <c r="Y568">
        <v>1.5341948359849336E-3</v>
      </c>
    </row>
    <row r="569" spans="1:25" x14ac:dyDescent="0.25">
      <c r="A569" s="1096"/>
      <c r="B569" s="1455">
        <v>319</v>
      </c>
      <c r="C569" s="1100">
        <v>0.98443447811969953</v>
      </c>
      <c r="D569" s="1100">
        <v>0.99726430810481859</v>
      </c>
      <c r="E569" s="1100">
        <v>0.99209798844466812</v>
      </c>
      <c r="F569" s="1100">
        <v>1.020723049522732</v>
      </c>
      <c r="G569" s="1100">
        <v>0.99291584187759829</v>
      </c>
      <c r="H569" s="1100">
        <v>0.99212337974981946</v>
      </c>
      <c r="I569" s="1100">
        <v>0.99978408323307366</v>
      </c>
      <c r="K569">
        <v>1.3389843556237608</v>
      </c>
      <c r="L569">
        <v>0</v>
      </c>
      <c r="M569">
        <v>6.1639411459693593E-4</v>
      </c>
      <c r="N569">
        <v>5.5340990097659415E-2</v>
      </c>
      <c r="O569">
        <v>7.8913481271079694E-3</v>
      </c>
      <c r="P569">
        <v>1.6449307791134831E-2</v>
      </c>
      <c r="Q569">
        <v>4.5326742740712953E-4</v>
      </c>
      <c r="R569">
        <v>6.1456080159847661E-4</v>
      </c>
      <c r="S569">
        <v>6.1352953985319647E-2</v>
      </c>
      <c r="T569">
        <v>1.0540138626582451</v>
      </c>
      <c r="U569">
        <v>0</v>
      </c>
      <c r="V569">
        <v>9.7759609011816725E-2</v>
      </c>
      <c r="W569">
        <v>3.6526949895492294E-2</v>
      </c>
      <c r="X569">
        <v>7.5252680305389228E-3</v>
      </c>
      <c r="Y569">
        <v>1.6726319120372538E-3</v>
      </c>
    </row>
    <row r="570" spans="1:25" x14ac:dyDescent="0.25">
      <c r="A570" s="1096"/>
      <c r="B570" s="1455">
        <v>320</v>
      </c>
      <c r="C570" s="1100">
        <v>1.0277498602563948</v>
      </c>
      <c r="D570" s="1100">
        <v>1.0097656728683417</v>
      </c>
      <c r="E570" s="1100">
        <v>0.96457233108989837</v>
      </c>
      <c r="F570" s="1100">
        <v>0.98044798706196712</v>
      </c>
      <c r="G570" s="1100">
        <v>1.0193479192535668</v>
      </c>
      <c r="H570" s="1100">
        <v>1.0172470210169415</v>
      </c>
      <c r="I570" s="1100">
        <v>1.0215717256248313</v>
      </c>
      <c r="K570">
        <v>1.2916739952777165</v>
      </c>
      <c r="L570">
        <v>0</v>
      </c>
      <c r="M570">
        <v>6.376267870360653E-4</v>
      </c>
      <c r="N570">
        <v>5.2676035116265008E-2</v>
      </c>
      <c r="O570">
        <v>7.5146623081307267E-3</v>
      </c>
      <c r="P570">
        <v>1.5556664517275399E-2</v>
      </c>
      <c r="Q570">
        <v>4.1971169752669674E-4</v>
      </c>
      <c r="R570">
        <v>6.3577716093495408E-4</v>
      </c>
      <c r="S570">
        <v>6.0380416320401128E-2</v>
      </c>
      <c r="T570">
        <v>1.0132459994409013</v>
      </c>
      <c r="U570">
        <v>0</v>
      </c>
      <c r="V570">
        <v>9.7947054685939977E-2</v>
      </c>
      <c r="W570">
        <v>3.5351473850971517E-2</v>
      </c>
      <c r="X570">
        <v>6.8534511182248535E-3</v>
      </c>
      <c r="Y570">
        <v>1.7303758481801697E-3</v>
      </c>
    </row>
    <row r="571" spans="1:25" x14ac:dyDescent="0.25">
      <c r="A571" s="1096"/>
      <c r="B571" s="1455">
        <v>321</v>
      </c>
      <c r="C571" s="1100">
        <v>1.0429823629958457</v>
      </c>
      <c r="D571" s="1100">
        <v>1.0095001025286088</v>
      </c>
      <c r="E571" s="1100">
        <v>1.0250259282216352</v>
      </c>
      <c r="F571" s="1100">
        <v>1.0257758517280742</v>
      </c>
      <c r="G571" s="1100">
        <v>1.0130986286835515</v>
      </c>
      <c r="H571" s="1100">
        <v>1.0029881818753745</v>
      </c>
      <c r="I571" s="1100">
        <v>0.98533058244483362</v>
      </c>
      <c r="K571">
        <v>1.3360225506357721</v>
      </c>
      <c r="L571">
        <v>0</v>
      </c>
      <c r="M571">
        <v>5.4661007829737856E-4</v>
      </c>
      <c r="N571">
        <v>5.4207282355619946E-2</v>
      </c>
      <c r="O571">
        <v>7.4198537311014594E-3</v>
      </c>
      <c r="P571">
        <v>1.6848426971611315E-2</v>
      </c>
      <c r="Q571">
        <v>4.4045907015018056E-4</v>
      </c>
      <c r="R571">
        <v>5.4500193169529723E-4</v>
      </c>
      <c r="S571">
        <v>5.7041879482228351E-2</v>
      </c>
      <c r="T571">
        <v>1.0582346879186681</v>
      </c>
      <c r="U571">
        <v>0</v>
      </c>
      <c r="V571">
        <v>9.7359397480482959E-2</v>
      </c>
      <c r="W571">
        <v>3.508986053904762E-2</v>
      </c>
      <c r="X571">
        <v>7.8989956352283602E-3</v>
      </c>
      <c r="Y571">
        <v>1.4833155982361004E-3</v>
      </c>
    </row>
    <row r="572" spans="1:25" x14ac:dyDescent="0.25">
      <c r="A572" s="1096"/>
      <c r="B572" s="1455">
        <v>322</v>
      </c>
      <c r="C572" s="1100">
        <v>0.97158878585668373</v>
      </c>
      <c r="D572" s="1100">
        <v>1.0040504969224446</v>
      </c>
      <c r="E572" s="1100">
        <v>0.98271138479414344</v>
      </c>
      <c r="F572" s="1100">
        <v>1.0077131783948503</v>
      </c>
      <c r="G572" s="1100">
        <v>1.0055175574244326</v>
      </c>
      <c r="H572" s="1100">
        <v>0.99798610430025669</v>
      </c>
      <c r="I572" s="1100">
        <v>0.99933141370035172</v>
      </c>
      <c r="K572">
        <v>1.3280827589466353</v>
      </c>
      <c r="L572">
        <v>0</v>
      </c>
      <c r="M572">
        <v>6.3882639121921284E-4</v>
      </c>
      <c r="N572">
        <v>5.5750832959418392E-2</v>
      </c>
      <c r="O572">
        <v>7.9716587254781233E-3</v>
      </c>
      <c r="P572">
        <v>1.6178594033178246E-2</v>
      </c>
      <c r="Q572">
        <v>4.535504707333542E-4</v>
      </c>
      <c r="R572">
        <v>6.3693752076479486E-4</v>
      </c>
      <c r="S572">
        <v>6.2084585462857479E-2</v>
      </c>
      <c r="T572">
        <v>1.0408647804552205</v>
      </c>
      <c r="U572">
        <v>0</v>
      </c>
      <c r="V572">
        <v>9.8691463623630932E-2</v>
      </c>
      <c r="W572">
        <v>3.7005388962267474E-2</v>
      </c>
      <c r="X572">
        <v>7.3502591591796014E-3</v>
      </c>
      <c r="Y572">
        <v>1.733533965124481E-3</v>
      </c>
    </row>
    <row r="573" spans="1:25" x14ac:dyDescent="0.25">
      <c r="A573" s="1096"/>
      <c r="B573" s="1455">
        <v>323</v>
      </c>
      <c r="C573" s="1100">
        <v>1.0057031442578408</v>
      </c>
      <c r="D573" s="1100">
        <v>0.97071517210493441</v>
      </c>
      <c r="E573" s="1100">
        <v>0.99740996878757182</v>
      </c>
      <c r="F573" s="1100">
        <v>0.99031763080829693</v>
      </c>
      <c r="G573" s="1100">
        <v>0.97499238024605672</v>
      </c>
      <c r="H573" s="1100">
        <v>1.0218656336649323</v>
      </c>
      <c r="I573" s="1100">
        <v>0.96383568832933675</v>
      </c>
      <c r="K573">
        <v>1.3058625903179033</v>
      </c>
      <c r="L573">
        <v>0</v>
      </c>
      <c r="M573">
        <v>6.2131171809271749E-4</v>
      </c>
      <c r="N573">
        <v>5.6690229311436344E-2</v>
      </c>
      <c r="O573">
        <v>7.8095948580085986E-3</v>
      </c>
      <c r="P573">
        <v>1.6042918434373481E-2</v>
      </c>
      <c r="Q573">
        <v>4.5098019847945869E-4</v>
      </c>
      <c r="R573">
        <v>6.1951756470574363E-4</v>
      </c>
      <c r="S573">
        <v>5.9627447495253498E-2</v>
      </c>
      <c r="T573">
        <v>1.0224593695776991</v>
      </c>
      <c r="U573">
        <v>0</v>
      </c>
      <c r="V573">
        <v>9.6366104509752637E-2</v>
      </c>
      <c r="W573">
        <v>3.729905855060725E-2</v>
      </c>
      <c r="X573">
        <v>7.4325589484592431E-3</v>
      </c>
      <c r="Y573">
        <v>1.6861225872187152E-3</v>
      </c>
    </row>
    <row r="574" spans="1:25" x14ac:dyDescent="0.25">
      <c r="A574" s="1096"/>
      <c r="B574" s="1455">
        <v>324</v>
      </c>
      <c r="C574" s="1100">
        <v>1.0290184163542611</v>
      </c>
      <c r="D574" s="1100">
        <v>0.99579851005109776</v>
      </c>
      <c r="E574" s="1100">
        <v>0.99430653462091423</v>
      </c>
      <c r="F574" s="1100">
        <v>0.97714237957574068</v>
      </c>
      <c r="G574" s="1100">
        <v>1.0380483003418888</v>
      </c>
      <c r="H574" s="1100">
        <v>0.97840746646258314</v>
      </c>
      <c r="I574" s="1100">
        <v>1.0013452757102348</v>
      </c>
      <c r="K574">
        <v>1.2857386036662592</v>
      </c>
      <c r="L574">
        <v>0</v>
      </c>
      <c r="M574">
        <v>5.7922095461938427E-4</v>
      </c>
      <c r="N574">
        <v>5.2349654406725586E-2</v>
      </c>
      <c r="O574">
        <v>7.5544125882932448E-3</v>
      </c>
      <c r="P574">
        <v>1.5839666856632871E-2</v>
      </c>
      <c r="Q574">
        <v>4.3488234148082001E-4</v>
      </c>
      <c r="R574">
        <v>5.7747405349178687E-4</v>
      </c>
      <c r="S574">
        <v>5.8426728516652343E-2</v>
      </c>
      <c r="T574">
        <v>1.0089471395689251</v>
      </c>
      <c r="U574">
        <v>0</v>
      </c>
      <c r="V574">
        <v>9.8854722979708362E-2</v>
      </c>
      <c r="W574">
        <v>3.4506996629226551E-2</v>
      </c>
      <c r="X574">
        <v>7.2544526704068297E-3</v>
      </c>
      <c r="Y574">
        <v>1.5716940093340717E-3</v>
      </c>
    </row>
    <row r="575" spans="1:25" x14ac:dyDescent="0.25">
      <c r="A575" s="1096"/>
      <c r="B575" s="1455">
        <v>325</v>
      </c>
      <c r="C575" s="1100">
        <v>1.0048090126192459</v>
      </c>
      <c r="D575" s="1100">
        <v>1.0072032758358584</v>
      </c>
      <c r="E575" s="1100">
        <v>1.0051978131584784</v>
      </c>
      <c r="F575" s="1100">
        <v>0.99881018851250947</v>
      </c>
      <c r="G575" s="1100">
        <v>1.0012356999126693</v>
      </c>
      <c r="H575" s="1100">
        <v>1.0021660707127431</v>
      </c>
      <c r="I575" s="1100">
        <v>0.99953818500282576</v>
      </c>
      <c r="K575">
        <v>1.3137587540678743</v>
      </c>
      <c r="L575">
        <v>0</v>
      </c>
      <c r="M575">
        <v>5.9130892785818278E-4</v>
      </c>
      <c r="N575">
        <v>5.5233913012438081E-2</v>
      </c>
      <c r="O575">
        <v>7.7039179231363011E-3</v>
      </c>
      <c r="P575">
        <v>1.6277352288819304E-2</v>
      </c>
      <c r="Q575">
        <v>4.4837140035847828E-4</v>
      </c>
      <c r="R575">
        <v>5.8956784852917459E-4</v>
      </c>
      <c r="S575">
        <v>6.0091872620471554E-2</v>
      </c>
      <c r="T575">
        <v>1.0309963335579115</v>
      </c>
      <c r="U575">
        <v>0</v>
      </c>
      <c r="V575">
        <v>9.7666262731814946E-2</v>
      </c>
      <c r="W575">
        <v>3.6173233104089687E-2</v>
      </c>
      <c r="X575">
        <v>7.5646291754575389E-3</v>
      </c>
      <c r="Y575">
        <v>1.6046093327073785E-3</v>
      </c>
    </row>
    <row r="576" spans="1:25" x14ac:dyDescent="0.25">
      <c r="A576" s="1096"/>
      <c r="B576" s="1455">
        <v>326</v>
      </c>
      <c r="C576" s="1100">
        <v>0.99146918684827812</v>
      </c>
      <c r="D576" s="1100">
        <v>0.96332263400976603</v>
      </c>
      <c r="E576" s="1100">
        <v>0.96160899605540362</v>
      </c>
      <c r="F576" s="1100">
        <v>0.98439348852025643</v>
      </c>
      <c r="G576" s="1100">
        <v>0.96663574283060316</v>
      </c>
      <c r="H576" s="1100">
        <v>0.99693717891578848</v>
      </c>
      <c r="I576" s="1100">
        <v>1.0279379543302236</v>
      </c>
      <c r="K576">
        <v>1.3012496951412458</v>
      </c>
      <c r="L576">
        <v>0</v>
      </c>
      <c r="M576">
        <v>6.6412457973843162E-4</v>
      </c>
      <c r="N576">
        <v>5.4371533921157233E-2</v>
      </c>
      <c r="O576">
        <v>7.9370059885885014E-3</v>
      </c>
      <c r="P576">
        <v>1.5601291945384042E-2</v>
      </c>
      <c r="Q576">
        <v>4.4195480041940989E-4</v>
      </c>
      <c r="R576">
        <v>6.6215884197931942E-4</v>
      </c>
      <c r="S576">
        <v>6.3933008418459114E-2</v>
      </c>
      <c r="T576">
        <v>1.0174135382831155</v>
      </c>
      <c r="U576">
        <v>0</v>
      </c>
      <c r="V576">
        <v>9.6276242989941863E-2</v>
      </c>
      <c r="W576">
        <v>3.6555576009125061E-2</v>
      </c>
      <c r="X576">
        <v>6.919330435548739E-3</v>
      </c>
      <c r="Y576">
        <v>1.8021780872641132E-3</v>
      </c>
    </row>
    <row r="577" spans="1:25" x14ac:dyDescent="0.25">
      <c r="A577" s="1096"/>
      <c r="B577" s="1455">
        <v>327</v>
      </c>
      <c r="C577" s="1100">
        <v>0.99918262567872007</v>
      </c>
      <c r="D577" s="1100">
        <v>0.99465851447747389</v>
      </c>
      <c r="E577" s="1100">
        <v>1.0062803870428827</v>
      </c>
      <c r="F577" s="1100">
        <v>0.9667679280247623</v>
      </c>
      <c r="G577" s="1100">
        <v>0.960425569042201</v>
      </c>
      <c r="H577" s="1100">
        <v>1.0120979622014348</v>
      </c>
      <c r="I577" s="1100">
        <v>1.0163728919639925</v>
      </c>
      <c r="K577">
        <v>1.282431651677933</v>
      </c>
      <c r="L577">
        <v>0</v>
      </c>
      <c r="M577">
        <v>6.021949050531931E-4</v>
      </c>
      <c r="N577">
        <v>5.6436605118969578E-2</v>
      </c>
      <c r="O577">
        <v>7.7865024536348769E-3</v>
      </c>
      <c r="P577">
        <v>1.5840177680440708E-2</v>
      </c>
      <c r="Q577">
        <v>4.536696996781465E-4</v>
      </c>
      <c r="R577">
        <v>6.0043917256789642E-4</v>
      </c>
      <c r="S577">
        <v>6.2172623851829312E-2</v>
      </c>
      <c r="T577">
        <v>0.99789055444565533</v>
      </c>
      <c r="U577">
        <v>0</v>
      </c>
      <c r="V577">
        <v>9.5832021389628971E-2</v>
      </c>
      <c r="W577">
        <v>3.6937221553283134E-2</v>
      </c>
      <c r="X577">
        <v>7.4498337242874897E-3</v>
      </c>
      <c r="Y577">
        <v>1.6341974930097728E-3</v>
      </c>
    </row>
    <row r="578" spans="1:25" x14ac:dyDescent="0.25">
      <c r="A578" s="1096"/>
      <c r="B578" s="1455">
        <v>328</v>
      </c>
      <c r="C578" s="1100">
        <v>1.0297120065073522</v>
      </c>
      <c r="D578" s="1100">
        <v>1.0214226350806868</v>
      </c>
      <c r="E578" s="1100">
        <v>1.0401675662711012</v>
      </c>
      <c r="F578" s="1100">
        <v>0.97996112253379497</v>
      </c>
      <c r="G578" s="1100">
        <v>1.0074521580318092</v>
      </c>
      <c r="H578" s="1100">
        <v>0.99546244246951188</v>
      </c>
      <c r="I578" s="1100">
        <v>1.0130561140443564</v>
      </c>
      <c r="K578">
        <v>1.2907509663152943</v>
      </c>
      <c r="L578">
        <v>0</v>
      </c>
      <c r="M578">
        <v>5.299320631342553E-4</v>
      </c>
      <c r="N578">
        <v>5.5006037257528485E-2</v>
      </c>
      <c r="O578">
        <v>7.4838600337211684E-3</v>
      </c>
      <c r="P578">
        <v>1.6390156860849544E-2</v>
      </c>
      <c r="Q578">
        <v>4.5094982977487752E-4</v>
      </c>
      <c r="R578">
        <v>5.2836119714821559E-4</v>
      </c>
      <c r="S578">
        <v>5.8820461392077944E-2</v>
      </c>
      <c r="T578">
        <v>1.0105429111266737</v>
      </c>
      <c r="U578">
        <v>0</v>
      </c>
      <c r="V578">
        <v>9.7409518765949513E-2</v>
      </c>
      <c r="W578">
        <v>3.5295955094244373E-2</v>
      </c>
      <c r="X578">
        <v>7.9146618160437984E-3</v>
      </c>
      <c r="Y578">
        <v>1.4380250044156134E-3</v>
      </c>
    </row>
    <row r="579" spans="1:25" x14ac:dyDescent="0.25">
      <c r="A579" s="1096"/>
      <c r="B579" s="1455">
        <v>329</v>
      </c>
      <c r="C579" s="1100">
        <v>0.99420166628248829</v>
      </c>
      <c r="D579" s="1100">
        <v>1.009004252942548</v>
      </c>
      <c r="E579" s="1100">
        <v>1.004512193447658</v>
      </c>
      <c r="F579" s="1100">
        <v>1.0050668883352516</v>
      </c>
      <c r="G579" s="1100">
        <v>1.0264403254095176</v>
      </c>
      <c r="H579" s="1100">
        <v>1.0028880383315653</v>
      </c>
      <c r="I579" s="1100">
        <v>1.0134353966787892</v>
      </c>
      <c r="K579">
        <v>1.3243728186527874</v>
      </c>
      <c r="L579">
        <v>0</v>
      </c>
      <c r="M579">
        <v>5.9847221428689559E-4</v>
      </c>
      <c r="N579">
        <v>5.5787514353114361E-2</v>
      </c>
      <c r="O579">
        <v>7.7803818660733184E-3</v>
      </c>
      <c r="P579">
        <v>1.6397843921552926E-2</v>
      </c>
      <c r="Q579">
        <v>4.5251050778011932E-4</v>
      </c>
      <c r="R579">
        <v>5.9671131158903581E-4</v>
      </c>
      <c r="S579">
        <v>6.1540195900687156E-2</v>
      </c>
      <c r="T579">
        <v>1.0374750636338097</v>
      </c>
      <c r="U579">
        <v>0</v>
      </c>
      <c r="V579">
        <v>9.9148022243877046E-2</v>
      </c>
      <c r="W579">
        <v>3.6550626296753298E-2</v>
      </c>
      <c r="X579">
        <v>7.6183693475224776E-3</v>
      </c>
      <c r="Y579">
        <v>1.6240514843143558E-3</v>
      </c>
    </row>
    <row r="580" spans="1:25" x14ac:dyDescent="0.25">
      <c r="A580" s="1096"/>
      <c r="B580" s="1455">
        <v>330</v>
      </c>
      <c r="C580" s="1100">
        <v>1.0171341400805463</v>
      </c>
      <c r="D580" s="1100">
        <v>0.99615810891916046</v>
      </c>
      <c r="E580" s="1100">
        <v>1.0002938354487576</v>
      </c>
      <c r="F580" s="1100">
        <v>0.97429821355485913</v>
      </c>
      <c r="G580" s="1100">
        <v>1.0451051224901344</v>
      </c>
      <c r="H580" s="1100">
        <v>0.97280014735270437</v>
      </c>
      <c r="I580" s="1100">
        <v>1.026263863413938</v>
      </c>
      <c r="K580">
        <v>1.2863547384982348</v>
      </c>
      <c r="L580">
        <v>0</v>
      </c>
      <c r="M580">
        <v>5.7535895367739746E-4</v>
      </c>
      <c r="N580">
        <v>5.2949069912244073E-2</v>
      </c>
      <c r="O580">
        <v>7.6430218544583633E-3</v>
      </c>
      <c r="P580">
        <v>1.5903859662955114E-2</v>
      </c>
      <c r="Q580">
        <v>4.426432083504917E-4</v>
      </c>
      <c r="R580">
        <v>5.7361369797143439E-4</v>
      </c>
      <c r="S580">
        <v>6.0401390889290925E-2</v>
      </c>
      <c r="T580">
        <v>1.0058362977900783</v>
      </c>
      <c r="U580">
        <v>0</v>
      </c>
      <c r="V580">
        <v>9.9484190579147189E-2</v>
      </c>
      <c r="W580">
        <v>3.4777866079664717E-2</v>
      </c>
      <c r="X580">
        <v>7.3569563835780925E-3</v>
      </c>
      <c r="Y580">
        <v>1.5611873941735275E-3</v>
      </c>
    </row>
    <row r="581" spans="1:25" x14ac:dyDescent="0.25">
      <c r="A581" s="1096"/>
      <c r="B581" s="1455">
        <v>331</v>
      </c>
      <c r="C581" s="1100">
        <v>1.0108675489954186</v>
      </c>
      <c r="D581" s="1100">
        <v>0.98124364311558021</v>
      </c>
      <c r="E581" s="1100">
        <v>1.0018577082960614</v>
      </c>
      <c r="F581" s="1100">
        <v>0.99751774740084276</v>
      </c>
      <c r="G581" s="1100">
        <v>1.008393814710917</v>
      </c>
      <c r="H581" s="1100">
        <v>0.97396205871223351</v>
      </c>
      <c r="I581" s="1100">
        <v>1.0058016566596368</v>
      </c>
      <c r="K581">
        <v>1.3102106093843682</v>
      </c>
      <c r="L581">
        <v>0</v>
      </c>
      <c r="M581">
        <v>5.8123634875414118E-4</v>
      </c>
      <c r="N581">
        <v>5.3743456331670034E-2</v>
      </c>
      <c r="O581">
        <v>7.7373301358705628E-3</v>
      </c>
      <c r="P581">
        <v>1.6222692123964658E-2</v>
      </c>
      <c r="Q581">
        <v>4.4880958571210186E-4</v>
      </c>
      <c r="R581">
        <v>5.794753682606457E-4</v>
      </c>
      <c r="S581">
        <v>6.0087031833685502E-2</v>
      </c>
      <c r="T581">
        <v>1.0297610658916956</v>
      </c>
      <c r="U581">
        <v>0</v>
      </c>
      <c r="V581">
        <v>9.7860999426508707E-2</v>
      </c>
      <c r="W581">
        <v>3.5266865587830112E-2</v>
      </c>
      <c r="X581">
        <v>7.506978519521844E-3</v>
      </c>
      <c r="Y581">
        <v>1.5771409284016692E-3</v>
      </c>
    </row>
    <row r="582" spans="1:25" x14ac:dyDescent="0.25">
      <c r="A582" s="1096"/>
      <c r="B582" s="1455">
        <v>332</v>
      </c>
      <c r="C582" s="1100">
        <v>1.0267836352657702</v>
      </c>
      <c r="D582" s="1100">
        <v>0.97346018520320066</v>
      </c>
      <c r="E582" s="1100">
        <v>0.96647735916438338</v>
      </c>
      <c r="F582" s="1100">
        <v>1.0051370441984016</v>
      </c>
      <c r="G582" s="1100">
        <v>0.99975946897762669</v>
      </c>
      <c r="H582" s="1100">
        <v>1.0056775173729184</v>
      </c>
      <c r="I582" s="1100">
        <v>0.96349037172525642</v>
      </c>
      <c r="K582">
        <v>1.3146998399564345</v>
      </c>
      <c r="L582">
        <v>0</v>
      </c>
      <c r="M582">
        <v>6.3776626398753605E-4</v>
      </c>
      <c r="N582">
        <v>5.2990675960324786E-2</v>
      </c>
      <c r="O582">
        <v>7.6331705618484366E-3</v>
      </c>
      <c r="P582">
        <v>1.5871325917116652E-2</v>
      </c>
      <c r="Q582">
        <v>4.2716365530197007E-4</v>
      </c>
      <c r="R582">
        <v>6.358949501903586E-4</v>
      </c>
      <c r="S582">
        <v>5.7796493430167142E-2</v>
      </c>
      <c r="T582">
        <v>1.0387019853878658</v>
      </c>
      <c r="U582">
        <v>0</v>
      </c>
      <c r="V582">
        <v>9.702439911373123E-2</v>
      </c>
      <c r="W582">
        <v>3.5521276440694562E-2</v>
      </c>
      <c r="X582">
        <v>7.0045243714763183E-3</v>
      </c>
      <c r="Y582">
        <v>1.7306964317041625E-3</v>
      </c>
    </row>
    <row r="583" spans="1:25" x14ac:dyDescent="0.25">
      <c r="A583" s="1096"/>
      <c r="B583" s="1455">
        <v>333</v>
      </c>
      <c r="C583" s="1100">
        <v>1.0024215793495208</v>
      </c>
      <c r="D583" s="1100">
        <v>1.029391286039989</v>
      </c>
      <c r="E583" s="1100">
        <v>0.97708692997773272</v>
      </c>
      <c r="F583" s="1100">
        <v>1.029140652291332</v>
      </c>
      <c r="G583" s="1100">
        <v>1.0044011534336659</v>
      </c>
      <c r="H583" s="1100">
        <v>0.97462770051760872</v>
      </c>
      <c r="I583" s="1100">
        <v>1.0248500247026615</v>
      </c>
      <c r="K583">
        <v>1.3411378988833416</v>
      </c>
      <c r="L583">
        <v>0</v>
      </c>
      <c r="M583">
        <v>6.0568951123475469E-4</v>
      </c>
      <c r="N583">
        <v>5.1963327412870498E-2</v>
      </c>
      <c r="O583">
        <v>7.6484558026009234E-3</v>
      </c>
      <c r="P583">
        <v>1.6371599406490692E-2</v>
      </c>
      <c r="Q583">
        <v>4.326809956575788E-4</v>
      </c>
      <c r="R583">
        <v>6.0385569792376222E-4</v>
      </c>
      <c r="S583">
        <v>6.0166545208158492E-2</v>
      </c>
      <c r="T583">
        <v>1.0631729402708772</v>
      </c>
      <c r="U583">
        <v>0</v>
      </c>
      <c r="V583">
        <v>9.7846882634680707E-2</v>
      </c>
      <c r="W583">
        <v>3.4608727093127824E-2</v>
      </c>
      <c r="X583">
        <v>7.2850777234183131E-3</v>
      </c>
      <c r="Y583">
        <v>1.6434961487711585E-3</v>
      </c>
    </row>
    <row r="584" spans="1:25" x14ac:dyDescent="0.25">
      <c r="A584" s="1096"/>
      <c r="B584" s="1455">
        <v>334</v>
      </c>
      <c r="C584" s="1100">
        <v>0.98290158389748317</v>
      </c>
      <c r="D584" s="1100">
        <v>1.0113710544249943</v>
      </c>
      <c r="E584" s="1100">
        <v>0.98847894546353099</v>
      </c>
      <c r="F584" s="1100">
        <v>1.0005680452634638</v>
      </c>
      <c r="G584" s="1100">
        <v>1.0033638518794823</v>
      </c>
      <c r="H584" s="1100">
        <v>0.97480915101695098</v>
      </c>
      <c r="I584" s="1100">
        <v>0.99162011598462751</v>
      </c>
      <c r="K584">
        <v>1.3146537921631118</v>
      </c>
      <c r="L584">
        <v>0</v>
      </c>
      <c r="M584">
        <v>6.0772119866020198E-4</v>
      </c>
      <c r="N584">
        <v>5.3965709306025046E-2</v>
      </c>
      <c r="O584">
        <v>7.8584743613061871E-3</v>
      </c>
      <c r="P584">
        <v>1.6113016844915933E-2</v>
      </c>
      <c r="Q584">
        <v>4.4973133900724289E-4</v>
      </c>
      <c r="R584">
        <v>6.058815766093892E-4</v>
      </c>
      <c r="S584">
        <v>5.9954680985488958E-2</v>
      </c>
      <c r="T584">
        <v>1.0333103360166058</v>
      </c>
      <c r="U584">
        <v>0</v>
      </c>
      <c r="V584">
        <v>9.8300229830721134E-2</v>
      </c>
      <c r="W584">
        <v>3.5696507013151461E-2</v>
      </c>
      <c r="X584">
        <v>7.3579361652189659E-3</v>
      </c>
      <c r="Y584">
        <v>1.6490099227227061E-3</v>
      </c>
    </row>
    <row r="585" spans="1:25" x14ac:dyDescent="0.25">
      <c r="A585" s="1096"/>
      <c r="B585" s="1455">
        <v>335</v>
      </c>
      <c r="C585" s="1100">
        <v>1.0101532963570101</v>
      </c>
      <c r="D585" s="1100">
        <v>0.96786337481589246</v>
      </c>
      <c r="E585" s="1100">
        <v>0.96636015583282386</v>
      </c>
      <c r="F585" s="1100">
        <v>1.0021533078395788</v>
      </c>
      <c r="G585" s="1100">
        <v>0.97111037645162268</v>
      </c>
      <c r="H585" s="1100">
        <v>1.0159086416780168</v>
      </c>
      <c r="I585" s="1100">
        <v>1.005018140015882</v>
      </c>
      <c r="K585">
        <v>1.3174237648887752</v>
      </c>
      <c r="L585">
        <v>0</v>
      </c>
      <c r="M585">
        <v>6.5653182860544643E-4</v>
      </c>
      <c r="N585">
        <v>5.4532123660811518E-2</v>
      </c>
      <c r="O585">
        <v>7.7767237525618645E-3</v>
      </c>
      <c r="P585">
        <v>1.5868855861606957E-2</v>
      </c>
      <c r="Q585">
        <v>4.3514487304359043E-4</v>
      </c>
      <c r="R585">
        <v>6.5462485382648307E-4</v>
      </c>
      <c r="S585">
        <v>6.1784725020047199E-2</v>
      </c>
      <c r="T585">
        <v>1.0356222261000587</v>
      </c>
      <c r="U585">
        <v>0</v>
      </c>
      <c r="V585">
        <v>9.6035768582007658E-2</v>
      </c>
      <c r="W585">
        <v>3.6557171243259065E-2</v>
      </c>
      <c r="X585">
        <v>7.0312597150662248E-3</v>
      </c>
      <c r="Y585">
        <v>1.7816730550906199E-3</v>
      </c>
    </row>
    <row r="586" spans="1:25" x14ac:dyDescent="0.25">
      <c r="A586" s="1096"/>
      <c r="B586" s="1455">
        <v>336</v>
      </c>
      <c r="C586" s="1100">
        <v>0.98239275599359754</v>
      </c>
      <c r="D586" s="1100">
        <v>1.0004668861104462</v>
      </c>
      <c r="E586" s="1100">
        <v>0.99131468071959816</v>
      </c>
      <c r="F586" s="1100">
        <v>0.99549708447007645</v>
      </c>
      <c r="G586" s="1100">
        <v>0.98843782318218654</v>
      </c>
      <c r="H586" s="1100">
        <v>1.0232772201980935</v>
      </c>
      <c r="I586" s="1100">
        <v>1.0076495458220074</v>
      </c>
      <c r="K586">
        <v>1.3167900244982167</v>
      </c>
      <c r="L586">
        <v>0</v>
      </c>
      <c r="M586">
        <v>6.3728769061699919E-4</v>
      </c>
      <c r="N586">
        <v>5.7086709488274961E-2</v>
      </c>
      <c r="O586">
        <v>7.8974183173155261E-3</v>
      </c>
      <c r="P586">
        <v>1.6104788244580229E-2</v>
      </c>
      <c r="Q586">
        <v>4.5325742572442277E-4</v>
      </c>
      <c r="R586">
        <v>6.3544994226376501E-4</v>
      </c>
      <c r="S586">
        <v>6.2832209831422431E-2</v>
      </c>
      <c r="T586">
        <v>1.0279885576459336</v>
      </c>
      <c r="U586">
        <v>0</v>
      </c>
      <c r="V586">
        <v>9.7594428298759167E-2</v>
      </c>
      <c r="W586">
        <v>3.7696845726680119E-2</v>
      </c>
      <c r="X586">
        <v>7.4081620010532836E-3</v>
      </c>
      <c r="Y586">
        <v>1.7294852668247992E-3</v>
      </c>
    </row>
    <row r="587" spans="1:25" x14ac:dyDescent="0.25">
      <c r="A587" s="1096"/>
      <c r="B587" s="1455">
        <v>337</v>
      </c>
      <c r="C587" s="1100">
        <v>1.0048372474543446</v>
      </c>
      <c r="D587" s="1100">
        <v>1.0141710489140483</v>
      </c>
      <c r="E587" s="1100">
        <v>1.0001407167647163</v>
      </c>
      <c r="F587" s="1100">
        <v>1.0093229025210142</v>
      </c>
      <c r="G587" s="1100">
        <v>0.96443460073336418</v>
      </c>
      <c r="H587" s="1100">
        <v>1.0184162498057079</v>
      </c>
      <c r="I587" s="1100">
        <v>1.012202604210602</v>
      </c>
      <c r="K587">
        <v>1.3249632038519412</v>
      </c>
      <c r="L587">
        <v>0</v>
      </c>
      <c r="M587">
        <v>6.0554698257077452E-4</v>
      </c>
      <c r="N587">
        <v>5.5709028194023541E-2</v>
      </c>
      <c r="O587">
        <v>7.6812576200910474E-3</v>
      </c>
      <c r="P587">
        <v>1.6355924878839384E-2</v>
      </c>
      <c r="Q587">
        <v>4.4478916539915966E-4</v>
      </c>
      <c r="R587">
        <v>6.0379243017305453E-4</v>
      </c>
      <c r="S587">
        <v>6.1119234418003168E-2</v>
      </c>
      <c r="T587">
        <v>1.0419993368544325</v>
      </c>
      <c r="U587">
        <v>0</v>
      </c>
      <c r="V587">
        <v>9.5879604377434882E-2</v>
      </c>
      <c r="W587">
        <v>3.6593984001509858E-2</v>
      </c>
      <c r="X587">
        <v>7.5384749397942727E-3</v>
      </c>
      <c r="Y587">
        <v>1.6433239548099411E-3</v>
      </c>
    </row>
    <row r="588" spans="1:25" x14ac:dyDescent="0.25">
      <c r="A588" s="1096"/>
      <c r="B588" s="1455">
        <v>338</v>
      </c>
      <c r="C588" s="1100">
        <v>1.0375266078806786</v>
      </c>
      <c r="D588" s="1100">
        <v>1.0389160466198333</v>
      </c>
      <c r="E588" s="1100">
        <v>0.98139760534398335</v>
      </c>
      <c r="F588" s="1100">
        <v>0.98687730733423651</v>
      </c>
      <c r="G588" s="1100">
        <v>1.0299107138890284</v>
      </c>
      <c r="H588" s="1100">
        <v>0.98352083941113544</v>
      </c>
      <c r="I588" s="1100">
        <v>0.96914665983525605</v>
      </c>
      <c r="K588">
        <v>1.2891385145439078</v>
      </c>
      <c r="L588">
        <v>0</v>
      </c>
      <c r="M588">
        <v>5.8314345990890669E-4</v>
      </c>
      <c r="N588">
        <v>5.068726944656371E-2</v>
      </c>
      <c r="O588">
        <v>7.3634948237133622E-3</v>
      </c>
      <c r="P588">
        <v>1.5771648670352235E-2</v>
      </c>
      <c r="Q588">
        <v>4.1839034035592924E-4</v>
      </c>
      <c r="R588">
        <v>5.8139387243314074E-4</v>
      </c>
      <c r="S588">
        <v>5.4953479704992578E-2</v>
      </c>
      <c r="T588">
        <v>1.019382740635369</v>
      </c>
      <c r="U588">
        <v>0</v>
      </c>
      <c r="V588">
        <v>9.8249315626152842E-2</v>
      </c>
      <c r="W588">
        <v>3.3671035329962594E-2</v>
      </c>
      <c r="X588">
        <v>7.0605270895968287E-3</v>
      </c>
      <c r="Y588">
        <v>1.5823624643244703E-3</v>
      </c>
    </row>
    <row r="589" spans="1:25" x14ac:dyDescent="0.25">
      <c r="A589" s="1096"/>
      <c r="B589" s="1455">
        <v>339</v>
      </c>
      <c r="C589" s="1100">
        <v>0.98258225761862417</v>
      </c>
      <c r="D589" s="1100">
        <v>1.0286435622495547</v>
      </c>
      <c r="E589" s="1100">
        <v>1.032314491026473</v>
      </c>
      <c r="F589" s="1100">
        <v>1.0182205252892294</v>
      </c>
      <c r="G589" s="1100">
        <v>1.0012422308606381</v>
      </c>
      <c r="H589" s="1100">
        <v>1.0395639308037592</v>
      </c>
      <c r="I589" s="1100">
        <v>1.0226408745007194</v>
      </c>
      <c r="K589">
        <v>1.3448204038972604</v>
      </c>
      <c r="L589">
        <v>0</v>
      </c>
      <c r="M589">
        <v>5.8787229954709028E-4</v>
      </c>
      <c r="N589">
        <v>5.9600690111216506E-2</v>
      </c>
      <c r="O589">
        <v>7.8188057094185012E-3</v>
      </c>
      <c r="P589">
        <v>1.69270590743828E-2</v>
      </c>
      <c r="Q589">
        <v>4.6750097418041362E-4</v>
      </c>
      <c r="R589">
        <v>5.8620360974234514E-4</v>
      </c>
      <c r="S589">
        <v>6.3369160740093758E-2</v>
      </c>
      <c r="T589">
        <v>1.0502257010657046</v>
      </c>
      <c r="U589">
        <v>0</v>
      </c>
      <c r="V589">
        <v>9.8255238941952538E-2</v>
      </c>
      <c r="W589">
        <v>3.8418105658925471E-2</v>
      </c>
      <c r="X589">
        <v>8.1443573274391431E-3</v>
      </c>
      <c r="Y589">
        <v>1.5954529837506465E-3</v>
      </c>
    </row>
    <row r="590" spans="1:25" x14ac:dyDescent="0.25">
      <c r="A590" s="1096"/>
      <c r="B590" s="1455">
        <v>340</v>
      </c>
      <c r="C590" s="1100">
        <v>1.0191580406878282</v>
      </c>
      <c r="D590" s="1100">
        <v>1.0264665493142788</v>
      </c>
      <c r="E590" s="1100">
        <v>0.99856008685872066</v>
      </c>
      <c r="F590" s="1100">
        <v>1.0422179193163821</v>
      </c>
      <c r="G590" s="1100">
        <v>0.99951208264967562</v>
      </c>
      <c r="H590" s="1100">
        <v>1.022494230249344</v>
      </c>
      <c r="I590" s="1100">
        <v>1.0136221785328534</v>
      </c>
      <c r="K590">
        <v>1.3581873237950473</v>
      </c>
      <c r="L590">
        <v>0</v>
      </c>
      <c r="M590">
        <v>5.9850519658225161E-4</v>
      </c>
      <c r="N590">
        <v>5.4799507825635904E-2</v>
      </c>
      <c r="O590">
        <v>7.5365290292785598E-3</v>
      </c>
      <c r="P590">
        <v>1.6804180043049607E-2</v>
      </c>
      <c r="Q590">
        <v>4.3571547289735646E-4</v>
      </c>
      <c r="R590">
        <v>5.9677796377724881E-4</v>
      </c>
      <c r="S590">
        <v>6.0078507732755852E-2</v>
      </c>
      <c r="T590">
        <v>1.0760083826906874</v>
      </c>
      <c r="U590">
        <v>0</v>
      </c>
      <c r="V590">
        <v>9.7228230212248579E-2</v>
      </c>
      <c r="W590">
        <v>3.6030390755331716E-2</v>
      </c>
      <c r="X590">
        <v>7.6433743763691152E-3</v>
      </c>
      <c r="Y590">
        <v>1.6242328895987842E-3</v>
      </c>
    </row>
    <row r="591" spans="1:25" x14ac:dyDescent="0.25">
      <c r="A591" s="1096"/>
      <c r="B591" s="1455">
        <v>341</v>
      </c>
      <c r="C591" s="1100">
        <v>0.97389902559919794</v>
      </c>
      <c r="D591" s="1100">
        <v>0.99705982943911275</v>
      </c>
      <c r="E591" s="1100">
        <v>0.99220185468059063</v>
      </c>
      <c r="F591" s="1100">
        <v>1.0011783011142883</v>
      </c>
      <c r="G591" s="1100">
        <v>0.99553897322141693</v>
      </c>
      <c r="H591" s="1100">
        <v>1.0002522321117844</v>
      </c>
      <c r="I591" s="1100">
        <v>0.97023196826276781</v>
      </c>
      <c r="K591">
        <v>1.3198247952170383</v>
      </c>
      <c r="L591">
        <v>0</v>
      </c>
      <c r="M591">
        <v>6.2808349532141809E-4</v>
      </c>
      <c r="N591">
        <v>5.6409560032612154E-2</v>
      </c>
      <c r="O591">
        <v>7.9773957038731403E-3</v>
      </c>
      <c r="P591">
        <v>1.6169890181880912E-2</v>
      </c>
      <c r="Q591">
        <v>4.5825792369887835E-4</v>
      </c>
      <c r="R591">
        <v>6.2623059664799661E-4</v>
      </c>
      <c r="S591">
        <v>6.0437808862732444E-2</v>
      </c>
      <c r="T591">
        <v>1.0338285440208836</v>
      </c>
      <c r="U591">
        <v>0</v>
      </c>
      <c r="V591">
        <v>9.8158918716298837E-2</v>
      </c>
      <c r="W591">
        <v>3.7229930006310197E-2</v>
      </c>
      <c r="X591">
        <v>7.4519494202068288E-3</v>
      </c>
      <c r="Y591">
        <v>1.7043932472151429E-3</v>
      </c>
    </row>
    <row r="592" spans="1:25" x14ac:dyDescent="0.25">
      <c r="A592" s="1096"/>
      <c r="B592" s="1455">
        <v>342</v>
      </c>
      <c r="C592" s="1100">
        <v>1.0100999562025503</v>
      </c>
      <c r="D592" s="1100">
        <v>1.0046409326023507</v>
      </c>
      <c r="E592" s="1100">
        <v>0.96694590554481652</v>
      </c>
      <c r="F592" s="1100">
        <v>0.98284685741940392</v>
      </c>
      <c r="G592" s="1100">
        <v>0.99450864346862389</v>
      </c>
      <c r="H592" s="1100">
        <v>1.0427006920070687</v>
      </c>
      <c r="I592" s="1100">
        <v>0.9945801280283123</v>
      </c>
      <c r="K592">
        <v>1.2981490948522512</v>
      </c>
      <c r="L592">
        <v>0</v>
      </c>
      <c r="M592">
        <v>6.6310165469541879E-4</v>
      </c>
      <c r="N592">
        <v>5.5179745222428141E-2</v>
      </c>
      <c r="O592">
        <v>7.6621189470235281E-3</v>
      </c>
      <c r="P592">
        <v>1.5611580977520016E-2</v>
      </c>
      <c r="Q592">
        <v>4.2898941719978417E-4</v>
      </c>
      <c r="R592">
        <v>6.612250868598587E-4</v>
      </c>
      <c r="S592">
        <v>6.0741021512327006E-2</v>
      </c>
      <c r="T592">
        <v>1.0156532875049189</v>
      </c>
      <c r="U592">
        <v>0</v>
      </c>
      <c r="V592">
        <v>9.7169392089207093E-2</v>
      </c>
      <c r="W592">
        <v>3.6978102503104834E-2</v>
      </c>
      <c r="X592">
        <v>6.9270965327172919E-3</v>
      </c>
      <c r="Y592">
        <v>1.7996367136412332E-3</v>
      </c>
    </row>
    <row r="593" spans="1:25" x14ac:dyDescent="0.25">
      <c r="A593" s="1096"/>
      <c r="B593" s="1455">
        <v>343</v>
      </c>
      <c r="C593" s="1100">
        <v>0.96465696081721197</v>
      </c>
      <c r="D593" s="1100">
        <v>1.0136142424518484</v>
      </c>
      <c r="E593" s="1100">
        <v>0.98393358422688793</v>
      </c>
      <c r="F593" s="1100">
        <v>0.98668679100126666</v>
      </c>
      <c r="G593" s="1100">
        <v>0.97398080649917329</v>
      </c>
      <c r="H593" s="1100">
        <v>1.0196075159043738</v>
      </c>
      <c r="I593" s="1100">
        <v>0.99334533878677822</v>
      </c>
      <c r="K593">
        <v>1.3075408900850296</v>
      </c>
      <c r="L593">
        <v>0</v>
      </c>
      <c r="M593">
        <v>6.5321472267694796E-4</v>
      </c>
      <c r="N593">
        <v>5.7221257444674246E-2</v>
      </c>
      <c r="O593">
        <v>7.9988615544501537E-3</v>
      </c>
      <c r="P593">
        <v>1.5888198750359739E-2</v>
      </c>
      <c r="Q593">
        <v>4.5566283361609164E-4</v>
      </c>
      <c r="R593">
        <v>6.5132426588839312E-4</v>
      </c>
      <c r="S593">
        <v>6.2518204574827596E-2</v>
      </c>
      <c r="T593">
        <v>1.0191101747252627</v>
      </c>
      <c r="U593">
        <v>0</v>
      </c>
      <c r="V593">
        <v>9.7350590860868377E-2</v>
      </c>
      <c r="W593">
        <v>3.7953457605298585E-2</v>
      </c>
      <c r="X593">
        <v>7.2736822496991815E-3</v>
      </c>
      <c r="Y593">
        <v>1.7726899427616604E-3</v>
      </c>
    </row>
    <row r="594" spans="1:25" x14ac:dyDescent="0.25">
      <c r="A594" s="1096"/>
      <c r="B594" s="1455">
        <v>344</v>
      </c>
      <c r="C594" s="1100">
        <v>0.99421849478039026</v>
      </c>
      <c r="D594" s="1100">
        <v>0.99515940133243797</v>
      </c>
      <c r="E594" s="1100">
        <v>0.99089834981497193</v>
      </c>
      <c r="F594" s="1100">
        <v>1.0213396047757031</v>
      </c>
      <c r="G594" s="1100">
        <v>0.99469522087729512</v>
      </c>
      <c r="H594" s="1100">
        <v>1.0132607009890799</v>
      </c>
      <c r="I594" s="1100">
        <v>0.98211079366818799</v>
      </c>
      <c r="K594">
        <v>1.339458344843427</v>
      </c>
      <c r="L594">
        <v>0</v>
      </c>
      <c r="M594">
        <v>6.2541068837642787E-4</v>
      </c>
      <c r="N594">
        <v>5.595072776743177E-2</v>
      </c>
      <c r="O594">
        <v>7.8200003411972169E-3</v>
      </c>
      <c r="P594">
        <v>1.6428213529341703E-2</v>
      </c>
      <c r="Q594">
        <v>4.4862545584584184E-4</v>
      </c>
      <c r="R594">
        <v>6.2358936140697219E-4</v>
      </c>
      <c r="S594">
        <v>6.0380625161627545E-2</v>
      </c>
      <c r="T594">
        <v>1.054687306935445</v>
      </c>
      <c r="U594">
        <v>0</v>
      </c>
      <c r="V594">
        <v>9.759663958224607E-2</v>
      </c>
      <c r="W594">
        <v>3.6955915291441828E-2</v>
      </c>
      <c r="X594">
        <v>7.494907430248287E-3</v>
      </c>
      <c r="Y594">
        <v>1.6972046755720374E-3</v>
      </c>
    </row>
    <row r="595" spans="1:25" x14ac:dyDescent="0.25">
      <c r="A595" s="1096"/>
      <c r="B595" s="1455">
        <v>345</v>
      </c>
      <c r="C595" s="1100">
        <v>0.98107211266222183</v>
      </c>
      <c r="D595" s="1100">
        <v>1.0314573281362789</v>
      </c>
      <c r="E595" s="1100">
        <v>1.0113410853316696</v>
      </c>
      <c r="F595" s="1100">
        <v>1.0168300661508975</v>
      </c>
      <c r="G595" s="1100">
        <v>0.98966499028778687</v>
      </c>
      <c r="H595" s="1100">
        <v>1.0325013348565424</v>
      </c>
      <c r="I595" s="1100">
        <v>0.98413332687697952</v>
      </c>
      <c r="K595">
        <v>1.3381760726614473</v>
      </c>
      <c r="L595">
        <v>0</v>
      </c>
      <c r="M595">
        <v>6.102011316785615E-4</v>
      </c>
      <c r="N595">
        <v>5.8070790919575871E-2</v>
      </c>
      <c r="O595">
        <v>7.8170888114755567E-3</v>
      </c>
      <c r="P595">
        <v>1.6614587208462994E-2</v>
      </c>
      <c r="Q595">
        <v>4.5776320238526022E-4</v>
      </c>
      <c r="R595">
        <v>6.084572130963359E-4</v>
      </c>
      <c r="S595">
        <v>6.0753641669753888E-2</v>
      </c>
      <c r="T595">
        <v>1.0494124972389922</v>
      </c>
      <c r="U595">
        <v>0</v>
      </c>
      <c r="V595">
        <v>9.7710192314422517E-2</v>
      </c>
      <c r="W595">
        <v>3.7893424767811712E-2</v>
      </c>
      <c r="X595">
        <v>7.7918104909667765E-3</v>
      </c>
      <c r="Y595">
        <v>1.6560199561818354E-3</v>
      </c>
    </row>
    <row r="596" spans="1:25" x14ac:dyDescent="0.25">
      <c r="A596" s="1096"/>
      <c r="B596" s="1455">
        <v>346</v>
      </c>
      <c r="C596" s="1100">
        <v>1.0159280608267265</v>
      </c>
      <c r="D596" s="1100">
        <v>1.0096788426468435</v>
      </c>
      <c r="E596" s="1100">
        <v>1.0028158110454901</v>
      </c>
      <c r="F596" s="1100">
        <v>0.98199604468098256</v>
      </c>
      <c r="G596" s="1100">
        <v>1.0041849573011468</v>
      </c>
      <c r="H596" s="1100">
        <v>0.96087452446532495</v>
      </c>
      <c r="I596" s="1100">
        <v>0.98808363281736789</v>
      </c>
      <c r="K596">
        <v>1.288085907550405</v>
      </c>
      <c r="L596">
        <v>0</v>
      </c>
      <c r="M596">
        <v>5.6296671242549038E-4</v>
      </c>
      <c r="N596">
        <v>5.2202881425239198E-2</v>
      </c>
      <c r="O596">
        <v>7.6115486905949416E-3</v>
      </c>
      <c r="P596">
        <v>1.5974409376315082E-2</v>
      </c>
      <c r="Q596">
        <v>4.419384006023498E-4</v>
      </c>
      <c r="R596">
        <v>5.6123785230933446E-4</v>
      </c>
      <c r="S596">
        <v>5.7451945839254955E-2</v>
      </c>
      <c r="T596">
        <v>1.0137097074922956</v>
      </c>
      <c r="U596">
        <v>0</v>
      </c>
      <c r="V596">
        <v>9.7536326634429307E-2</v>
      </c>
      <c r="W596">
        <v>3.4236463245922569E-2</v>
      </c>
      <c r="X596">
        <v>7.394910883886806E-3</v>
      </c>
      <c r="Y596">
        <v>1.5275044219777174E-3</v>
      </c>
    </row>
    <row r="597" spans="1:25" x14ac:dyDescent="0.25">
      <c r="A597" s="1096"/>
      <c r="B597" s="1455">
        <v>347</v>
      </c>
      <c r="C597" s="1100">
        <v>0.98762477384070402</v>
      </c>
      <c r="D597" s="1100">
        <v>1.0070360782208885</v>
      </c>
      <c r="E597" s="1100">
        <v>1.0172604913590493</v>
      </c>
      <c r="F597" s="1100">
        <v>0.98252889850393654</v>
      </c>
      <c r="G597" s="1100">
        <v>0.99228484914007298</v>
      </c>
      <c r="H597" s="1100">
        <v>0.95875992814484989</v>
      </c>
      <c r="I597" s="1100">
        <v>0.97711076964342913</v>
      </c>
      <c r="K597">
        <v>1.2933754065547574</v>
      </c>
      <c r="L597">
        <v>0</v>
      </c>
      <c r="M597">
        <v>5.613315207074138E-4</v>
      </c>
      <c r="N597">
        <v>5.4370972474524354E-2</v>
      </c>
      <c r="O597">
        <v>7.8414782025533272E-3</v>
      </c>
      <c r="P597">
        <v>1.6163826197299697E-2</v>
      </c>
      <c r="Q597">
        <v>4.6191016650404715E-4</v>
      </c>
      <c r="R597">
        <v>5.5960388021608003E-4</v>
      </c>
      <c r="S597">
        <v>5.8474624098446788E-2</v>
      </c>
      <c r="T597">
        <v>1.0138415719293028</v>
      </c>
      <c r="U597">
        <v>0</v>
      </c>
      <c r="V597">
        <v>9.7675968755138287E-2</v>
      </c>
      <c r="W597">
        <v>3.5355942831685729E-2</v>
      </c>
      <c r="X597">
        <v>7.667782251213698E-3</v>
      </c>
      <c r="Y597">
        <v>1.5230572885786351E-3</v>
      </c>
    </row>
    <row r="598" spans="1:25" x14ac:dyDescent="0.25">
      <c r="A598" s="1096"/>
      <c r="B598" s="1455">
        <v>348</v>
      </c>
      <c r="C598" s="1100">
        <v>0.99650049526107076</v>
      </c>
      <c r="D598" s="1100">
        <v>1.0082488724671976</v>
      </c>
      <c r="E598" s="1100">
        <v>0.96637829715506163</v>
      </c>
      <c r="F598" s="1100">
        <v>0.97131984994365483</v>
      </c>
      <c r="G598" s="1100">
        <v>1.0100618503791718</v>
      </c>
      <c r="H598" s="1100">
        <v>1.0142856267620117</v>
      </c>
      <c r="I598" s="1100">
        <v>0.99004469514882887</v>
      </c>
      <c r="K598">
        <v>1.2853228954339073</v>
      </c>
      <c r="L598">
        <v>0</v>
      </c>
      <c r="M598">
        <v>6.5366229939570046E-4</v>
      </c>
      <c r="N598">
        <v>5.4296508118078776E-2</v>
      </c>
      <c r="O598">
        <v>7.7554180123472248E-3</v>
      </c>
      <c r="P598">
        <v>1.545537101426629E-2</v>
      </c>
      <c r="Q598">
        <v>4.339607776913048E-4</v>
      </c>
      <c r="R598">
        <v>6.5176062138618462E-4</v>
      </c>
      <c r="S598">
        <v>6.0312840066752041E-2</v>
      </c>
      <c r="T598">
        <v>1.003758480847021</v>
      </c>
      <c r="U598">
        <v>0</v>
      </c>
      <c r="V598">
        <v>9.8255676304485992E-2</v>
      </c>
      <c r="W598">
        <v>3.6398816557148113E-2</v>
      </c>
      <c r="X598">
        <v>6.8838478555421859E-3</v>
      </c>
      <c r="Y598">
        <v>1.7738775585820976E-3</v>
      </c>
    </row>
    <row r="599" spans="1:25" x14ac:dyDescent="0.25">
      <c r="A599" s="1096"/>
      <c r="B599" s="1455">
        <v>349</v>
      </c>
      <c r="C599" s="1100">
        <v>0.97237790421742887</v>
      </c>
      <c r="D599" s="1100">
        <v>0.98598404301408493</v>
      </c>
      <c r="E599" s="1100">
        <v>0.98984410547757595</v>
      </c>
      <c r="F599" s="1100">
        <v>1.0076615669185798</v>
      </c>
      <c r="G599" s="1100">
        <v>0.98088895239609575</v>
      </c>
      <c r="H599" s="1100">
        <v>1.0030520598585271</v>
      </c>
      <c r="I599" s="1100">
        <v>0.97144048764958257</v>
      </c>
      <c r="K599">
        <v>1.3273519150556869</v>
      </c>
      <c r="L599">
        <v>0</v>
      </c>
      <c r="M599">
        <v>6.3675407694769313E-4</v>
      </c>
      <c r="N599">
        <v>5.6782566097345423E-2</v>
      </c>
      <c r="O599">
        <v>8.0250578460535783E-3</v>
      </c>
      <c r="P599">
        <v>1.6232097435693604E-2</v>
      </c>
      <c r="Q599">
        <v>4.5989917021179165E-4</v>
      </c>
      <c r="R599">
        <v>6.3488084274616007E-4</v>
      </c>
      <c r="S599">
        <v>6.1055681689883394E-2</v>
      </c>
      <c r="T599">
        <v>1.0405945935531065</v>
      </c>
      <c r="U599">
        <v>0</v>
      </c>
      <c r="V599">
        <v>9.7487401809535107E-2</v>
      </c>
      <c r="W599">
        <v>3.7529038612481379E-2</v>
      </c>
      <c r="X599">
        <v>7.459515710035617E-3</v>
      </c>
      <c r="Y599">
        <v>1.7279363655414836E-3</v>
      </c>
    </row>
    <row r="600" spans="1:25" x14ac:dyDescent="0.25">
      <c r="A600" s="1096"/>
      <c r="B600" s="1455">
        <v>350</v>
      </c>
      <c r="C600" s="1100">
        <v>0.9581451487306748</v>
      </c>
      <c r="D600" s="1100">
        <v>0.98390759836293606</v>
      </c>
      <c r="E600" s="1100">
        <v>0.99499191889281935</v>
      </c>
      <c r="F600" s="1100">
        <v>1.0031500519520145</v>
      </c>
      <c r="G600" s="1100">
        <v>1.0111064254907824</v>
      </c>
      <c r="H600" s="1100">
        <v>1.0194588348652329</v>
      </c>
      <c r="I600" s="1100">
        <v>1.0261652266648462</v>
      </c>
      <c r="K600">
        <v>1.3332013457835759</v>
      </c>
      <c r="L600">
        <v>0</v>
      </c>
      <c r="M600">
        <v>6.5036323926783693E-4</v>
      </c>
      <c r="N600">
        <v>5.8908516129316066E-2</v>
      </c>
      <c r="O600">
        <v>8.1524625609027054E-3</v>
      </c>
      <c r="P600">
        <v>1.6322885549704638E-2</v>
      </c>
      <c r="Q600">
        <v>4.6963447949732913E-4</v>
      </c>
      <c r="R600">
        <v>6.4848076039876977E-4</v>
      </c>
      <c r="S600">
        <v>6.60727258707446E-2</v>
      </c>
      <c r="T600">
        <v>1.0357807545943796</v>
      </c>
      <c r="U600">
        <v>0</v>
      </c>
      <c r="V600">
        <v>9.9333498320673577E-2</v>
      </c>
      <c r="W600">
        <v>3.8814479297893764E-2</v>
      </c>
      <c r="X600">
        <v>7.5833206011521395E-3</v>
      </c>
      <c r="Y600">
        <v>1.7649508581802386E-3</v>
      </c>
    </row>
    <row r="601" spans="1:25" x14ac:dyDescent="0.25">
      <c r="A601" s="1096"/>
      <c r="B601" s="1455">
        <v>351</v>
      </c>
      <c r="C601" s="1100">
        <v>0.9767725452780075</v>
      </c>
      <c r="D601" s="1100">
        <v>0.9987538279638396</v>
      </c>
      <c r="E601" s="1100">
        <v>1.0252908708401447</v>
      </c>
      <c r="F601" s="1100">
        <v>0.9969330866346291</v>
      </c>
      <c r="G601" s="1100">
        <v>1.0288839691630933</v>
      </c>
      <c r="H601" s="1100">
        <v>1.0243480041890416</v>
      </c>
      <c r="I601" s="1100">
        <v>1.0047953712464197</v>
      </c>
      <c r="K601">
        <v>1.323740642968682</v>
      </c>
      <c r="L601">
        <v>0</v>
      </c>
      <c r="M601">
        <v>5.9831850643146157E-4</v>
      </c>
      <c r="N601">
        <v>5.9386283338886119E-2</v>
      </c>
      <c r="O601">
        <v>7.956859299085085E-3</v>
      </c>
      <c r="P601">
        <v>1.6555923781844357E-2</v>
      </c>
      <c r="Q601">
        <v>4.7246099180103617E-4</v>
      </c>
      <c r="R601">
        <v>5.9659493721497803E-4</v>
      </c>
      <c r="S601">
        <v>6.3140787897222522E-2</v>
      </c>
      <c r="T601">
        <v>1.028471580667534</v>
      </c>
      <c r="U601">
        <v>0</v>
      </c>
      <c r="V601">
        <v>9.9734786214044385E-2</v>
      </c>
      <c r="W601">
        <v>3.8436435699412332E-2</v>
      </c>
      <c r="X601">
        <v>7.9635138964364201E-3</v>
      </c>
      <c r="Y601">
        <v>1.6237347516309725E-3</v>
      </c>
    </row>
    <row r="602" spans="1:25" x14ac:dyDescent="0.25">
      <c r="A602" s="1096"/>
      <c r="B602" s="1455">
        <v>352</v>
      </c>
      <c r="C602" s="1100">
        <v>1.0014461552844276</v>
      </c>
      <c r="D602" s="1100">
        <v>0.99964494360709366</v>
      </c>
      <c r="E602" s="1100">
        <v>1.0334419724854211</v>
      </c>
      <c r="F602" s="1100">
        <v>1.0050759883055183</v>
      </c>
      <c r="G602" s="1100">
        <v>0.9822652878952991</v>
      </c>
      <c r="H602" s="1100">
        <v>0.95621219454015338</v>
      </c>
      <c r="I602" s="1100">
        <v>1.0126653666286038</v>
      </c>
      <c r="K602">
        <v>1.3173218345845981</v>
      </c>
      <c r="L602">
        <v>0</v>
      </c>
      <c r="M602">
        <v>5.3539494290409857E-4</v>
      </c>
      <c r="N602">
        <v>5.4451591887090783E-2</v>
      </c>
      <c r="O602">
        <v>7.7600574628968032E-3</v>
      </c>
      <c r="P602">
        <v>1.6683501870299593E-2</v>
      </c>
      <c r="Q602">
        <v>4.6450500219272965E-4</v>
      </c>
      <c r="R602">
        <v>5.3374273838716361E-4</v>
      </c>
      <c r="S602">
        <v>5.9940799711981407E-2</v>
      </c>
      <c r="T602">
        <v>1.036635373544657</v>
      </c>
      <c r="U602">
        <v>0</v>
      </c>
      <c r="V602">
        <v>9.6862911226220816E-2</v>
      </c>
      <c r="W602">
        <v>3.5076127892991436E-2</v>
      </c>
      <c r="X602">
        <v>7.9959464051397016E-3</v>
      </c>
      <c r="Y602">
        <v>1.452671785643437E-3</v>
      </c>
    </row>
    <row r="603" spans="1:25" x14ac:dyDescent="0.25">
      <c r="A603" s="1096"/>
      <c r="B603" s="1455">
        <v>353</v>
      </c>
      <c r="C603" s="1100">
        <v>1.0187499414481238</v>
      </c>
      <c r="D603" s="1100">
        <v>0.99063436181677389</v>
      </c>
      <c r="E603" s="1100">
        <v>1.0216305889717878</v>
      </c>
      <c r="F603" s="1100">
        <v>1.0305804892763288</v>
      </c>
      <c r="G603" s="1100">
        <v>1.0025396471660468</v>
      </c>
      <c r="H603" s="1100">
        <v>0.98923961098334079</v>
      </c>
      <c r="I603" s="1100">
        <v>1.0002751095387075</v>
      </c>
      <c r="K603">
        <v>1.3452788023384934</v>
      </c>
      <c r="L603">
        <v>0</v>
      </c>
      <c r="M603">
        <v>5.600663892599343E-4</v>
      </c>
      <c r="N603">
        <v>5.4973616089292222E-2</v>
      </c>
      <c r="O603">
        <v>7.6530603558535642E-3</v>
      </c>
      <c r="P603">
        <v>1.6911150879317705E-2</v>
      </c>
      <c r="Q603">
        <v>4.5277463756933676E-4</v>
      </c>
      <c r="R603">
        <v>5.5839575327816732E-4</v>
      </c>
      <c r="S603">
        <v>5.9469903782221889E-2</v>
      </c>
      <c r="T603">
        <v>1.063293089051462</v>
      </c>
      <c r="U603">
        <v>0</v>
      </c>
      <c r="V603">
        <v>9.7410130767391717E-2</v>
      </c>
      <c r="W603">
        <v>3.5656504411808503E-2</v>
      </c>
      <c r="X603">
        <v>7.940473834246611E-3</v>
      </c>
      <c r="Y603">
        <v>1.5197691653125746E-3</v>
      </c>
    </row>
    <row r="604" spans="1:25" x14ac:dyDescent="0.25">
      <c r="A604" s="1096"/>
      <c r="B604" s="1455">
        <v>354</v>
      </c>
      <c r="C604" s="1100">
        <v>1.0256559791326358</v>
      </c>
      <c r="D604" s="1100">
        <v>1.0010853059867229</v>
      </c>
      <c r="E604" s="1100">
        <v>1.0033786235120989</v>
      </c>
      <c r="F604" s="1100">
        <v>1.0074222811050855</v>
      </c>
      <c r="G604" s="1100">
        <v>0.97962645413870397</v>
      </c>
      <c r="H604" s="1100">
        <v>0.98209136804861563</v>
      </c>
      <c r="I604" s="1100">
        <v>1.006888564521891</v>
      </c>
      <c r="K604">
        <v>1.3162203624540711</v>
      </c>
      <c r="L604">
        <v>0</v>
      </c>
      <c r="M604">
        <v>5.7122443957461938E-4</v>
      </c>
      <c r="N604">
        <v>5.3062259215324467E-2</v>
      </c>
      <c r="O604">
        <v>7.5653124730492996E-3</v>
      </c>
      <c r="P604">
        <v>1.6340077935555277E-2</v>
      </c>
      <c r="Q604">
        <v>4.3950199619271498E-4</v>
      </c>
      <c r="R604">
        <v>5.6950811783006323E-4</v>
      </c>
      <c r="S604">
        <v>5.8894119445031028E-2</v>
      </c>
      <c r="T604">
        <v>1.0399402626261245</v>
      </c>
      <c r="U604">
        <v>0</v>
      </c>
      <c r="V604">
        <v>9.611747974778001E-2</v>
      </c>
      <c r="W604">
        <v>3.4788462619454008E-2</v>
      </c>
      <c r="X604">
        <v>7.5245893588709754E-3</v>
      </c>
      <c r="Y604">
        <v>1.5500133584328451E-3</v>
      </c>
    </row>
    <row r="605" spans="1:25" x14ac:dyDescent="0.25">
      <c r="A605" s="1096"/>
      <c r="B605" s="1455">
        <v>355</v>
      </c>
      <c r="C605" s="1100">
        <v>0.98505587504222403</v>
      </c>
      <c r="D605" s="1100">
        <v>1.0300523374308432</v>
      </c>
      <c r="E605" s="1100">
        <v>1.0116459519165817</v>
      </c>
      <c r="F605" s="1100">
        <v>0.97490541984632317</v>
      </c>
      <c r="G605" s="1100">
        <v>0.98467676145437066</v>
      </c>
      <c r="H605" s="1100">
        <v>1.0245304846811256</v>
      </c>
      <c r="I605" s="1100">
        <v>1.0052153915991371</v>
      </c>
      <c r="K605">
        <v>1.2935072135587848</v>
      </c>
      <c r="L605">
        <v>0</v>
      </c>
      <c r="M605">
        <v>6.0298845724291936E-4</v>
      </c>
      <c r="N605">
        <v>5.7435938794062127E-2</v>
      </c>
      <c r="O605">
        <v>7.7897961729854444E-3</v>
      </c>
      <c r="P605">
        <v>1.6029935768095457E-2</v>
      </c>
      <c r="Q605">
        <v>4.5630389058252496E-4</v>
      </c>
      <c r="R605">
        <v>6.0125174473631474E-4</v>
      </c>
      <c r="S605">
        <v>6.1603891341547465E-2</v>
      </c>
      <c r="T605">
        <v>1.0061357084545135</v>
      </c>
      <c r="U605">
        <v>0</v>
      </c>
      <c r="V605">
        <v>9.7367021938794235E-2</v>
      </c>
      <c r="W605">
        <v>3.7472430139309225E-2</v>
      </c>
      <c r="X605">
        <v>7.5815147248127482E-3</v>
      </c>
      <c r="Y605">
        <v>1.636409046587865E-3</v>
      </c>
    </row>
    <row r="606" spans="1:25" x14ac:dyDescent="0.25">
      <c r="A606" s="1096"/>
      <c r="B606" s="1455">
        <v>356</v>
      </c>
      <c r="C606" s="1100">
        <v>0.99055543380153388</v>
      </c>
      <c r="D606" s="1100">
        <v>0.96915500541260868</v>
      </c>
      <c r="E606" s="1100">
        <v>0.95843831868727147</v>
      </c>
      <c r="F606" s="1100">
        <v>0.9993161196667607</v>
      </c>
      <c r="G606" s="1100">
        <v>1.0078277794105723</v>
      </c>
      <c r="H606" s="1100">
        <v>0.98091578245043332</v>
      </c>
      <c r="I606" s="1100">
        <v>1.0127970462970068</v>
      </c>
      <c r="K606">
        <v>1.3155444865032122</v>
      </c>
      <c r="L606">
        <v>0</v>
      </c>
      <c r="M606">
        <v>6.5675515098809331E-4</v>
      </c>
      <c r="N606">
        <v>5.325151551069502E-2</v>
      </c>
      <c r="O606">
        <v>7.9243789795738068E-3</v>
      </c>
      <c r="P606">
        <v>1.5773652183430749E-2</v>
      </c>
      <c r="Q606">
        <v>4.3981608855657407E-4</v>
      </c>
      <c r="R606">
        <v>6.5477947562645107E-4</v>
      </c>
      <c r="S606">
        <v>6.2335806583296079E-2</v>
      </c>
      <c r="T606">
        <v>1.0329348337139179</v>
      </c>
      <c r="U606">
        <v>0</v>
      </c>
      <c r="V606">
        <v>9.8288033276425074E-2</v>
      </c>
      <c r="W606">
        <v>3.5872263765430845E-2</v>
      </c>
      <c r="X606">
        <v>6.9440681925857818E-3</v>
      </c>
      <c r="Y606">
        <v>1.7820938846590704E-3</v>
      </c>
    </row>
    <row r="607" spans="1:25" x14ac:dyDescent="0.25">
      <c r="A607" s="1096"/>
      <c r="B607" s="1455">
        <v>357</v>
      </c>
      <c r="C607" s="1100">
        <v>0.99599551770622652</v>
      </c>
      <c r="D607" s="1100">
        <v>1.002222580022909</v>
      </c>
      <c r="E607" s="1100">
        <v>1.0173166121102528</v>
      </c>
      <c r="F607" s="1100">
        <v>1.0017540335350241</v>
      </c>
      <c r="G607" s="1100">
        <v>0.99535387440672252</v>
      </c>
      <c r="H607" s="1100">
        <v>1.0087247182130952</v>
      </c>
      <c r="I607" s="1100">
        <v>1.0002503778719745</v>
      </c>
      <c r="K607">
        <v>1.320242489804565</v>
      </c>
      <c r="L607">
        <v>0</v>
      </c>
      <c r="M607">
        <v>5.8667618330596227E-4</v>
      </c>
      <c r="N607">
        <v>5.6844189482321901E-2</v>
      </c>
      <c r="O607">
        <v>7.7905055640826275E-3</v>
      </c>
      <c r="P607">
        <v>1.6473141345507918E-2</v>
      </c>
      <c r="Q607">
        <v>4.589332143191969E-4</v>
      </c>
      <c r="R607">
        <v>5.8495997652646236E-4</v>
      </c>
      <c r="S607">
        <v>6.1041157820950306E-2</v>
      </c>
      <c r="T607">
        <v>1.0336777573053968</v>
      </c>
      <c r="U607">
        <v>0</v>
      </c>
      <c r="V607">
        <v>9.7613564810297385E-2</v>
      </c>
      <c r="W607">
        <v>3.6962991354645869E-2</v>
      </c>
      <c r="X607">
        <v>7.7898968897215006E-3</v>
      </c>
      <c r="Y607">
        <v>1.5920682241005932E-3</v>
      </c>
    </row>
    <row r="608" spans="1:25" x14ac:dyDescent="0.25">
      <c r="A608" s="1096"/>
      <c r="B608" s="1455">
        <v>358</v>
      </c>
      <c r="C608" s="1100">
        <v>1.0355640955270087</v>
      </c>
      <c r="D608" s="1100">
        <v>1.0293463652338335</v>
      </c>
      <c r="E608" s="1100">
        <v>0.99101963344052746</v>
      </c>
      <c r="F608" s="1100">
        <v>0.96379080790903549</v>
      </c>
      <c r="G608" s="1100">
        <v>0.98593022544052289</v>
      </c>
      <c r="H608" s="1100">
        <v>1.0049344905962987</v>
      </c>
      <c r="I608" s="1100">
        <v>0.97640830431352399</v>
      </c>
      <c r="K608">
        <v>1.2671502897690194</v>
      </c>
      <c r="L608">
        <v>0</v>
      </c>
      <c r="M608">
        <v>5.8736768049004917E-4</v>
      </c>
      <c r="N608">
        <v>5.2565308651600834E-2</v>
      </c>
      <c r="O608">
        <v>7.4070578267345193E-3</v>
      </c>
      <c r="P608">
        <v>1.5550891398334722E-2</v>
      </c>
      <c r="Q608">
        <v>4.249874323310807E-4</v>
      </c>
      <c r="R608">
        <v>5.8564297036699708E-4</v>
      </c>
      <c r="S608">
        <v>5.6364211812766206E-2</v>
      </c>
      <c r="T608">
        <v>0.99525597669474919</v>
      </c>
      <c r="U608">
        <v>0</v>
      </c>
      <c r="V608">
        <v>9.6177692817745894E-2</v>
      </c>
      <c r="W608">
        <v>3.4717297548138515E-2</v>
      </c>
      <c r="X608">
        <v>7.0946631885549566E-3</v>
      </c>
      <c r="Y608">
        <v>1.5939271081856698E-3</v>
      </c>
    </row>
    <row r="609" spans="1:25" x14ac:dyDescent="0.25">
      <c r="A609" s="1096"/>
      <c r="B609" s="1455">
        <v>359</v>
      </c>
      <c r="C609" s="1100">
        <v>0.97036828009367571</v>
      </c>
      <c r="D609" s="1100">
        <v>1.0281082866960551</v>
      </c>
      <c r="E609" s="1100">
        <v>0.97768012525067161</v>
      </c>
      <c r="F609" s="1100">
        <v>0.99997187837092905</v>
      </c>
      <c r="G609" s="1100">
        <v>0.96466913248416308</v>
      </c>
      <c r="H609" s="1100">
        <v>1.0281378137503383</v>
      </c>
      <c r="I609" s="1100">
        <v>1.0126876990933624</v>
      </c>
      <c r="K609">
        <v>1.3207171483287488</v>
      </c>
      <c r="L609">
        <v>0</v>
      </c>
      <c r="M609">
        <v>6.5956958194139171E-4</v>
      </c>
      <c r="N609">
        <v>5.669643868642122E-2</v>
      </c>
      <c r="O609">
        <v>7.9051907111814933E-3</v>
      </c>
      <c r="P609">
        <v>1.5999756101077466E-2</v>
      </c>
      <c r="Q609">
        <v>4.4747485725550633E-4</v>
      </c>
      <c r="R609">
        <v>6.5767657108488527E-4</v>
      </c>
      <c r="S609">
        <v>6.3143908892509801E-2</v>
      </c>
      <c r="T609">
        <v>1.0330215374253109</v>
      </c>
      <c r="U609">
        <v>0</v>
      </c>
      <c r="V609">
        <v>9.6742068291900046E-2</v>
      </c>
      <c r="W609">
        <v>3.7747532928992342E-2</v>
      </c>
      <c r="X609">
        <v>7.2251546214861691E-3</v>
      </c>
      <c r="Y609">
        <v>1.789978823469667E-3</v>
      </c>
    </row>
    <row r="610" spans="1:25" x14ac:dyDescent="0.25">
      <c r="A610" s="1096"/>
      <c r="B610" s="1455">
        <v>360</v>
      </c>
      <c r="C610" s="1100">
        <v>1.0299170128498736</v>
      </c>
      <c r="D610" s="1100">
        <v>1.0296969055452903</v>
      </c>
      <c r="E610" s="1100">
        <v>1.0130719479246497</v>
      </c>
      <c r="F610" s="1100">
        <v>1.0309019181947816</v>
      </c>
      <c r="G610" s="1100">
        <v>1.0147205521753784</v>
      </c>
      <c r="H610" s="1100">
        <v>1.0116272831481443</v>
      </c>
      <c r="I610" s="1100">
        <v>1.0281351518896418</v>
      </c>
      <c r="K610">
        <v>1.3452565197609698</v>
      </c>
      <c r="L610">
        <v>0</v>
      </c>
      <c r="M610">
        <v>5.6785331711171894E-4</v>
      </c>
      <c r="N610">
        <v>5.4320560190691224E-2</v>
      </c>
      <c r="O610">
        <v>7.4518533001549508E-3</v>
      </c>
      <c r="P610">
        <v>1.682338944183729E-2</v>
      </c>
      <c r="Q610">
        <v>4.3713003477926046E-4</v>
      </c>
      <c r="R610">
        <v>5.6619693911830768E-4</v>
      </c>
      <c r="S610">
        <v>5.9887653948579471E-2</v>
      </c>
      <c r="T610">
        <v>1.063882792144937</v>
      </c>
      <c r="U610">
        <v>0</v>
      </c>
      <c r="V610">
        <v>9.7726072355462032E-2</v>
      </c>
      <c r="W610">
        <v>3.5410158019330881E-2</v>
      </c>
      <c r="X610">
        <v>7.7775652816818993E-3</v>
      </c>
      <c r="Y610">
        <v>1.5410014215092155E-3</v>
      </c>
    </row>
    <row r="611" spans="1:25" x14ac:dyDescent="0.25">
      <c r="A611" s="1096"/>
      <c r="B611" s="1455">
        <v>361</v>
      </c>
      <c r="C611" s="1100">
        <v>0.99221058987290978</v>
      </c>
      <c r="D611" s="1100">
        <v>0.99036016038670827</v>
      </c>
      <c r="E611" s="1100">
        <v>0.99830803508263388</v>
      </c>
      <c r="F611" s="1100">
        <v>0.99554884162786439</v>
      </c>
      <c r="G611" s="1100">
        <v>1.0041859871139345</v>
      </c>
      <c r="H611" s="1100">
        <v>1.0110249998080103</v>
      </c>
      <c r="I611" s="1100">
        <v>0.97424700011382825</v>
      </c>
      <c r="K611">
        <v>1.3132483312956273</v>
      </c>
      <c r="L611">
        <v>0</v>
      </c>
      <c r="M611">
        <v>6.1695614650584022E-4</v>
      </c>
      <c r="N611">
        <v>5.6444029971020306E-2</v>
      </c>
      <c r="O611">
        <v>7.8528309467851415E-3</v>
      </c>
      <c r="P611">
        <v>1.6157356742242196E-2</v>
      </c>
      <c r="Q611">
        <v>4.5388698264991567E-4</v>
      </c>
      <c r="R611">
        <v>6.1515546784041196E-4</v>
      </c>
      <c r="S611">
        <v>6.0113878459038678E-2</v>
      </c>
      <c r="T611">
        <v>1.0278336954244933</v>
      </c>
      <c r="U611">
        <v>0</v>
      </c>
      <c r="V611">
        <v>9.8114465568990103E-2</v>
      </c>
      <c r="W611">
        <v>3.7117222330077075E-2</v>
      </c>
      <c r="X611">
        <v>7.4885151514806807E-3</v>
      </c>
      <c r="Y611">
        <v>1.6742503975161274E-3</v>
      </c>
    </row>
    <row r="612" spans="1:25" x14ac:dyDescent="0.25">
      <c r="A612" s="1096"/>
      <c r="B612" s="1455">
        <v>362</v>
      </c>
      <c r="C612" s="1100">
        <v>0.96866646228244269</v>
      </c>
      <c r="D612" s="1100">
        <v>0.97996699370499318</v>
      </c>
      <c r="E612" s="1100">
        <v>1.0117228050955334</v>
      </c>
      <c r="F612" s="1100">
        <v>1.0147797453334779</v>
      </c>
      <c r="G612" s="1100">
        <v>1.0223088035083747</v>
      </c>
      <c r="H612" s="1100">
        <v>0.97654629708392482</v>
      </c>
      <c r="I612" s="1100">
        <v>0.97196132474435237</v>
      </c>
      <c r="K612">
        <v>1.3360866432149714</v>
      </c>
      <c r="L612">
        <v>0</v>
      </c>
      <c r="M612">
        <v>5.9614695748180801E-4</v>
      </c>
      <c r="N612">
        <v>5.6789384976950408E-2</v>
      </c>
      <c r="O612">
        <v>8.0811448355368239E-3</v>
      </c>
      <c r="P612">
        <v>1.6615835606425541E-2</v>
      </c>
      <c r="Q612">
        <v>4.7340659307145469E-4</v>
      </c>
      <c r="R612">
        <v>5.9434558172938572E-4</v>
      </c>
      <c r="S612">
        <v>6.0727090334427698E-2</v>
      </c>
      <c r="T612">
        <v>1.0472850807261056</v>
      </c>
      <c r="U612">
        <v>0</v>
      </c>
      <c r="V612">
        <v>9.9613528438415866E-2</v>
      </c>
      <c r="W612">
        <v>3.7048927841395969E-2</v>
      </c>
      <c r="X612">
        <v>7.836432490893849E-3</v>
      </c>
      <c r="Y612">
        <v>1.6176127474990271E-3</v>
      </c>
    </row>
    <row r="613" spans="1:25" x14ac:dyDescent="0.25">
      <c r="A613" s="1096"/>
      <c r="B613" s="1455">
        <v>363</v>
      </c>
      <c r="C613" s="1100">
        <v>0.98029438060225138</v>
      </c>
      <c r="D613" s="1100">
        <v>1.0369999924200606</v>
      </c>
      <c r="E613" s="1100">
        <v>0.96594913614869382</v>
      </c>
      <c r="F613" s="1100">
        <v>1.0122861299551074</v>
      </c>
      <c r="G613" s="1100">
        <v>0.98161313530708971</v>
      </c>
      <c r="H613" s="1100">
        <v>0.99696346193002694</v>
      </c>
      <c r="I613" s="1100">
        <v>0.99119996432713797</v>
      </c>
      <c r="K613">
        <v>1.3259615054687759</v>
      </c>
      <c r="L613">
        <v>0</v>
      </c>
      <c r="M613">
        <v>6.4638839414329842E-4</v>
      </c>
      <c r="N613">
        <v>5.3619837298086531E-2</v>
      </c>
      <c r="O613">
        <v>7.7953558558703029E-3</v>
      </c>
      <c r="P613">
        <v>1.5995312133700861E-2</v>
      </c>
      <c r="Q613">
        <v>4.360038336684565E-4</v>
      </c>
      <c r="R613">
        <v>6.4447520403638451E-4</v>
      </c>
      <c r="S613">
        <v>5.9938289257717742E-2</v>
      </c>
      <c r="T613">
        <v>1.0461062600744544</v>
      </c>
      <c r="U613">
        <v>0</v>
      </c>
      <c r="V613">
        <v>9.7290168606248673E-2</v>
      </c>
      <c r="W613">
        <v>3.5954614750474796E-2</v>
      </c>
      <c r="X613">
        <v>7.0735277944656014E-3</v>
      </c>
      <c r="Y613">
        <v>1.7540490541931254E-3</v>
      </c>
    </row>
    <row r="614" spans="1:25" x14ac:dyDescent="0.25">
      <c r="A614" s="1096"/>
      <c r="B614" s="1455">
        <v>364</v>
      </c>
      <c r="C614" s="1100">
        <v>1.0343097670999915</v>
      </c>
      <c r="D614" s="1100">
        <v>1.0064285855121171</v>
      </c>
      <c r="E614" s="1100">
        <v>0.9738090853959559</v>
      </c>
      <c r="F614" s="1100">
        <v>0.97348155743378162</v>
      </c>
      <c r="G614" s="1100">
        <v>0.98608294774775451</v>
      </c>
      <c r="H614" s="1100">
        <v>0.96809984248161574</v>
      </c>
      <c r="I614" s="1100">
        <v>0.99721634617128041</v>
      </c>
      <c r="K614">
        <v>1.2750231868460113</v>
      </c>
      <c r="L614">
        <v>0</v>
      </c>
      <c r="M614">
        <v>5.9236814000109385E-4</v>
      </c>
      <c r="N614">
        <v>5.0317734391034208E-2</v>
      </c>
      <c r="O614">
        <v>7.4790713422874513E-3</v>
      </c>
      <c r="P614">
        <v>1.5501845832606293E-2</v>
      </c>
      <c r="Q614">
        <v>4.2168792960543578E-4</v>
      </c>
      <c r="R614">
        <v>5.9056256571470337E-4</v>
      </c>
      <c r="S614">
        <v>5.723697601480339E-2</v>
      </c>
      <c r="T614">
        <v>1.0057705952180931</v>
      </c>
      <c r="U614">
        <v>0</v>
      </c>
      <c r="V614">
        <v>9.6195334939867969E-2</v>
      </c>
      <c r="W614">
        <v>3.3579361434121519E-2</v>
      </c>
      <c r="X614">
        <v>6.9150686928995788E-3</v>
      </c>
      <c r="Y614">
        <v>1.6073166249779556E-3</v>
      </c>
    </row>
    <row r="615" spans="1:25" x14ac:dyDescent="0.25">
      <c r="A615" s="1096"/>
      <c r="B615" s="1455">
        <v>365</v>
      </c>
      <c r="C615" s="1100">
        <v>1.0037221128798406</v>
      </c>
      <c r="D615" s="1100">
        <v>1.0190379786246904</v>
      </c>
      <c r="E615" s="1100">
        <v>0.9967774225100321</v>
      </c>
      <c r="F615" s="1100">
        <v>0.97930151415123856</v>
      </c>
      <c r="G615" s="1100">
        <v>1.0049629773116844</v>
      </c>
      <c r="H615" s="1100">
        <v>1.0048112012184063</v>
      </c>
      <c r="I615" s="1100">
        <v>1.0385171246688705</v>
      </c>
      <c r="K615">
        <v>1.2949642740126994</v>
      </c>
      <c r="L615">
        <v>0</v>
      </c>
      <c r="M615">
        <v>6.0115531546373546E-4</v>
      </c>
      <c r="N615">
        <v>5.4743665512491234E-2</v>
      </c>
      <c r="O615">
        <v>7.6742636343593469E-3</v>
      </c>
      <c r="P615">
        <v>1.5936070554142364E-2</v>
      </c>
      <c r="Q615">
        <v>4.4288309624378598E-4</v>
      </c>
      <c r="R615">
        <v>5.9938990359445444E-4</v>
      </c>
      <c r="S615">
        <v>6.2187391579255583E-2</v>
      </c>
      <c r="T615">
        <v>1.0111042057109798</v>
      </c>
      <c r="U615">
        <v>0</v>
      </c>
      <c r="V615">
        <v>9.7863892622015489E-2</v>
      </c>
      <c r="W615">
        <v>3.6031901231936558E-2</v>
      </c>
      <c r="X615">
        <v>7.3504237543887867E-3</v>
      </c>
      <c r="Y615">
        <v>1.6313417287554879E-3</v>
      </c>
    </row>
    <row r="616" spans="1:25" x14ac:dyDescent="0.25">
      <c r="A616" s="1096"/>
      <c r="B616" s="1455">
        <v>366</v>
      </c>
      <c r="C616" s="1100">
        <v>0.97439938354992539</v>
      </c>
      <c r="D616" s="1100">
        <v>0.99904562861164548</v>
      </c>
      <c r="E616" s="1100">
        <v>1.0173719568312269</v>
      </c>
      <c r="F616" s="1100">
        <v>0.99531752048027433</v>
      </c>
      <c r="G616" s="1100">
        <v>0.9547338753388247</v>
      </c>
      <c r="H616" s="1100">
        <v>0.98288300456232536</v>
      </c>
      <c r="I616" s="1100">
        <v>1.0244263996484082</v>
      </c>
      <c r="K616">
        <v>1.3141775586362678</v>
      </c>
      <c r="L616">
        <v>0</v>
      </c>
      <c r="M616">
        <v>5.8499150168508517E-4</v>
      </c>
      <c r="N616">
        <v>5.6686050752164908E-2</v>
      </c>
      <c r="O616">
        <v>7.9733041491541461E-3</v>
      </c>
      <c r="P616">
        <v>1.6392070438036529E-2</v>
      </c>
      <c r="Q616">
        <v>4.697276324662214E-4</v>
      </c>
      <c r="R616">
        <v>5.8323523060579876E-4</v>
      </c>
      <c r="S616">
        <v>6.3180804712157979E-2</v>
      </c>
      <c r="T616">
        <v>1.0270345153366109</v>
      </c>
      <c r="U616">
        <v>0</v>
      </c>
      <c r="V616">
        <v>9.6199970059918941E-2</v>
      </c>
      <c r="W616">
        <v>3.6858965493042135E-2</v>
      </c>
      <c r="X616">
        <v>7.7965322995277048E-3</v>
      </c>
      <c r="Y616">
        <v>1.5873740342668872E-3</v>
      </c>
    </row>
    <row r="617" spans="1:25" x14ac:dyDescent="0.25">
      <c r="A617" s="1096"/>
      <c r="B617" s="1455">
        <v>367</v>
      </c>
      <c r="C617" s="1100">
        <v>1.0232232506643764</v>
      </c>
      <c r="D617" s="1100">
        <v>0.9944723564940916</v>
      </c>
      <c r="E617" s="1100">
        <v>1.0337049870567041</v>
      </c>
      <c r="F617" s="1100">
        <v>1.010531637045488</v>
      </c>
      <c r="G617" s="1100">
        <v>0.99349139348756854</v>
      </c>
      <c r="H617" s="1100">
        <v>0.98761802877560567</v>
      </c>
      <c r="I617" s="1100">
        <v>1.0002705289917568</v>
      </c>
      <c r="K617">
        <v>1.3231888056480987</v>
      </c>
      <c r="L617">
        <v>0</v>
      </c>
      <c r="M617">
        <v>5.4203742735284223E-4</v>
      </c>
      <c r="N617">
        <v>5.5176302154528602E-2</v>
      </c>
      <c r="O617">
        <v>7.6107418406396203E-3</v>
      </c>
      <c r="P617">
        <v>1.6753009836441079E-2</v>
      </c>
      <c r="Q617">
        <v>4.5568545016935974E-4</v>
      </c>
      <c r="R617">
        <v>5.4041791567325365E-4</v>
      </c>
      <c r="S617">
        <v>5.9049764897063872E-2</v>
      </c>
      <c r="T617">
        <v>1.0422546830568693</v>
      </c>
      <c r="U617">
        <v>0</v>
      </c>
      <c r="V617">
        <v>9.6879438425880565E-2</v>
      </c>
      <c r="W617">
        <v>3.5537554247183148E-2</v>
      </c>
      <c r="X617">
        <v>8.0024058332578713E-3</v>
      </c>
      <c r="Y617">
        <v>1.4708394177445731E-3</v>
      </c>
    </row>
    <row r="618" spans="1:25" x14ac:dyDescent="0.25">
      <c r="A618" s="1096"/>
      <c r="B618" s="1455">
        <v>368</v>
      </c>
      <c r="C618" s="1100">
        <v>1.0283764561074342</v>
      </c>
      <c r="D618" s="1100">
        <v>1.0248921055291693</v>
      </c>
      <c r="E618" s="1100">
        <v>1.0137801704490754</v>
      </c>
      <c r="F618" s="1100">
        <v>1.0197720675833015</v>
      </c>
      <c r="G618" s="1100">
        <v>1.0119022737782839</v>
      </c>
      <c r="H618" s="1100">
        <v>0.99928571330162574</v>
      </c>
      <c r="I618" s="1100">
        <v>1.014660516265105</v>
      </c>
      <c r="K618">
        <v>1.3317784255329408</v>
      </c>
      <c r="L618">
        <v>0</v>
      </c>
      <c r="M618">
        <v>5.6199000982781093E-4</v>
      </c>
      <c r="N618">
        <v>5.3872771460479321E-2</v>
      </c>
      <c r="O618">
        <v>7.4771595986082547E-3</v>
      </c>
      <c r="P618">
        <v>1.6659621928697032E-2</v>
      </c>
      <c r="Q618">
        <v>4.3892456454193462E-4</v>
      </c>
      <c r="R618">
        <v>5.6033048889296241E-4</v>
      </c>
      <c r="S618">
        <v>5.8971954318324984E-2</v>
      </c>
      <c r="T618">
        <v>1.052375663792813</v>
      </c>
      <c r="U618">
        <v>0</v>
      </c>
      <c r="V618">
        <v>9.7626565553780145E-2</v>
      </c>
      <c r="W618">
        <v>3.5103632626294796E-2</v>
      </c>
      <c r="X618">
        <v>7.7287563324634065E-3</v>
      </c>
      <c r="Y618">
        <v>1.525034877870623E-3</v>
      </c>
    </row>
    <row r="619" spans="1:25" x14ac:dyDescent="0.25">
      <c r="A619" s="1096"/>
      <c r="B619" s="1455">
        <v>369</v>
      </c>
      <c r="C619" s="1100">
        <v>0.96389339415121456</v>
      </c>
      <c r="D619" s="1100">
        <v>1.01671360422665</v>
      </c>
      <c r="E619" s="1100">
        <v>0.99071687661151508</v>
      </c>
      <c r="F619" s="1100">
        <v>0.97266838586942017</v>
      </c>
      <c r="G619" s="1100">
        <v>0.96215841711346761</v>
      </c>
      <c r="H619" s="1100">
        <v>0.95764450336879314</v>
      </c>
      <c r="I619" s="1100">
        <v>0.99839109549930238</v>
      </c>
      <c r="K619">
        <v>1.2849665415772142</v>
      </c>
      <c r="L619">
        <v>0</v>
      </c>
      <c r="M619">
        <v>6.0470297849423153E-4</v>
      </c>
      <c r="N619">
        <v>5.4059323214262087E-2</v>
      </c>
      <c r="O619">
        <v>7.9971404325073544E-3</v>
      </c>
      <c r="P619">
        <v>1.5740864233077863E-2</v>
      </c>
      <c r="Q619">
        <v>4.5870369390078105E-4</v>
      </c>
      <c r="R619">
        <v>6.0283968354889477E-4</v>
      </c>
      <c r="S619">
        <v>6.084332446624563E-2</v>
      </c>
      <c r="T619">
        <v>1.0044322291370704</v>
      </c>
      <c r="U619">
        <v>0</v>
      </c>
      <c r="V619">
        <v>9.6806617682826973E-2</v>
      </c>
      <c r="W619">
        <v>3.5710506571056941E-2</v>
      </c>
      <c r="X619">
        <v>7.2789645486396421E-3</v>
      </c>
      <c r="Y619">
        <v>1.6407308925718185E-3</v>
      </c>
    </row>
    <row r="620" spans="1:25" x14ac:dyDescent="0.25">
      <c r="A620" s="1096"/>
      <c r="B620" s="1455">
        <v>370</v>
      </c>
      <c r="C620" s="1100">
        <v>1.0351452771053316</v>
      </c>
      <c r="D620" s="1100">
        <v>1.0092397147212109</v>
      </c>
      <c r="E620" s="1100">
        <v>1.007637418732358</v>
      </c>
      <c r="F620" s="1100">
        <v>0.9739740992729482</v>
      </c>
      <c r="G620" s="1100">
        <v>1.0097256263130723</v>
      </c>
      <c r="H620" s="1100">
        <v>1.0117310784815974</v>
      </c>
      <c r="I620" s="1100">
        <v>0.97841160132298344</v>
      </c>
      <c r="K620">
        <v>1.2824122466653975</v>
      </c>
      <c r="L620">
        <v>0</v>
      </c>
      <c r="M620">
        <v>5.760646758508159E-4</v>
      </c>
      <c r="N620">
        <v>5.4209354645249508E-2</v>
      </c>
      <c r="O620">
        <v>7.4726822716087576E-3</v>
      </c>
      <c r="P620">
        <v>1.5911847827033178E-2</v>
      </c>
      <c r="Q620">
        <v>4.3597741784889073E-4</v>
      </c>
      <c r="R620">
        <v>5.7438451843699152E-4</v>
      </c>
      <c r="S620">
        <v>5.7313453557238596E-2</v>
      </c>
      <c r="T620">
        <v>1.005289642846211</v>
      </c>
      <c r="U620">
        <v>0</v>
      </c>
      <c r="V620">
        <v>9.7356817750559682E-2</v>
      </c>
      <c r="W620">
        <v>3.545105954379052E-2</v>
      </c>
      <c r="X620">
        <v>7.40980564989139E-3</v>
      </c>
      <c r="Y620">
        <v>1.5632853133798761E-3</v>
      </c>
    </row>
    <row r="621" spans="1:25" x14ac:dyDescent="0.25">
      <c r="A621" s="1096"/>
      <c r="B621" s="1455">
        <v>371</v>
      </c>
      <c r="C621" s="1100">
        <v>0.95189981474038377</v>
      </c>
      <c r="D621" s="1100">
        <v>0.99855507479209249</v>
      </c>
      <c r="E621" s="1100">
        <v>1.0474235025478968</v>
      </c>
      <c r="F621" s="1100">
        <v>1.0313764242566641</v>
      </c>
      <c r="G621" s="1100">
        <v>1.0093831944188709</v>
      </c>
      <c r="H621" s="1100">
        <v>0.98497406074269256</v>
      </c>
      <c r="I621" s="1100">
        <v>1.004000973074024</v>
      </c>
      <c r="K621">
        <v>1.3603850130975044</v>
      </c>
      <c r="L621">
        <v>0</v>
      </c>
      <c r="M621">
        <v>5.6376518598200945E-4</v>
      </c>
      <c r="N621">
        <v>5.9808737215083813E-2</v>
      </c>
      <c r="O621">
        <v>8.1711604477705917E-3</v>
      </c>
      <c r="P621">
        <v>1.7316717574642416E-2</v>
      </c>
      <c r="Q621">
        <v>4.958821119790544E-4</v>
      </c>
      <c r="R621">
        <v>5.6207623409384316E-4</v>
      </c>
      <c r="S621">
        <v>6.3499715642966831E-2</v>
      </c>
      <c r="T621">
        <v>1.0633496860994829</v>
      </c>
      <c r="U621">
        <v>0</v>
      </c>
      <c r="V621">
        <v>9.9480045927797314E-2</v>
      </c>
      <c r="W621">
        <v>3.821815105894933E-2</v>
      </c>
      <c r="X621">
        <v>8.5168197498960308E-3</v>
      </c>
      <c r="Y621">
        <v>1.5297862208226696E-3</v>
      </c>
    </row>
    <row r="622" spans="1:25" x14ac:dyDescent="0.25">
      <c r="A622" s="1096"/>
      <c r="B622" s="1455">
        <v>372</v>
      </c>
      <c r="C622" s="1100">
        <v>1.0211908995902035</v>
      </c>
      <c r="D622" s="1100">
        <v>0.98867202248639596</v>
      </c>
      <c r="E622" s="1100">
        <v>0.99508778994098224</v>
      </c>
      <c r="F622" s="1100">
        <v>1.0093197092921222</v>
      </c>
      <c r="G622" s="1100">
        <v>1.0002601783530169</v>
      </c>
      <c r="H622" s="1100">
        <v>0.99201684047909955</v>
      </c>
      <c r="I622" s="1100">
        <v>0.97322617619437257</v>
      </c>
      <c r="K622">
        <v>1.3196350095399949</v>
      </c>
      <c r="L622">
        <v>0</v>
      </c>
      <c r="M622">
        <v>5.9252166391224694E-4</v>
      </c>
      <c r="N622">
        <v>5.3680591559968412E-2</v>
      </c>
      <c r="O622">
        <v>7.6344072992303421E-3</v>
      </c>
      <c r="P622">
        <v>1.6269821797995423E-2</v>
      </c>
      <c r="Q622">
        <v>4.3983365187682584E-4</v>
      </c>
      <c r="R622">
        <v>5.9075916439260787E-4</v>
      </c>
      <c r="S622">
        <v>5.7841408629996233E-2</v>
      </c>
      <c r="T622">
        <v>1.0421482054931357</v>
      </c>
      <c r="U622">
        <v>0</v>
      </c>
      <c r="V622">
        <v>9.7212173047005843E-2</v>
      </c>
      <c r="W622">
        <v>3.536780690427338E-2</v>
      </c>
      <c r="X622">
        <v>7.4346719542597852E-3</v>
      </c>
      <c r="Y622">
        <v>1.607851701770475E-3</v>
      </c>
    </row>
    <row r="623" spans="1:25" x14ac:dyDescent="0.25">
      <c r="A623" s="1096"/>
      <c r="B623" s="1455">
        <v>373</v>
      </c>
      <c r="C623" s="1100">
        <v>0.99050492933089729</v>
      </c>
      <c r="D623" s="1100">
        <v>1.0085694746260336</v>
      </c>
      <c r="E623" s="1100">
        <v>1.0217270915489112</v>
      </c>
      <c r="F623" s="1100">
        <v>1.0108025528935265</v>
      </c>
      <c r="G623" s="1100">
        <v>1.0214769402051653</v>
      </c>
      <c r="H623" s="1100">
        <v>1.0380763599936014</v>
      </c>
      <c r="I623" s="1100">
        <v>1.0013097347743924</v>
      </c>
      <c r="K623">
        <v>1.3357177689389497</v>
      </c>
      <c r="L623">
        <v>0</v>
      </c>
      <c r="M623">
        <v>6.0003153117282838E-4</v>
      </c>
      <c r="N623">
        <v>5.8921854973171359E-2</v>
      </c>
      <c r="O623">
        <v>7.8150264154341689E-3</v>
      </c>
      <c r="P623">
        <v>1.6688912661072582E-2</v>
      </c>
      <c r="Q623">
        <v>4.6240128269603822E-4</v>
      </c>
      <c r="R623">
        <v>5.9832588639013818E-4</v>
      </c>
      <c r="S623">
        <v>6.214476203208523E-2</v>
      </c>
      <c r="T623">
        <v>1.0428845224309546</v>
      </c>
      <c r="U623">
        <v>0</v>
      </c>
      <c r="V623">
        <v>9.902043894161526E-2</v>
      </c>
      <c r="W623">
        <v>3.8215221653264644E-2</v>
      </c>
      <c r="X623">
        <v>7.9378883687572961E-3</v>
      </c>
      <c r="Y623">
        <v>1.6284458246785163E-3</v>
      </c>
    </row>
    <row r="624" spans="1:25" x14ac:dyDescent="0.25">
      <c r="A624" s="1096"/>
      <c r="B624" s="1455">
        <v>374</v>
      </c>
      <c r="C624" s="1100">
        <v>1.0024581629709781</v>
      </c>
      <c r="D624" s="1100">
        <v>1.0244107105474483</v>
      </c>
      <c r="E624" s="1100">
        <v>0.98260125015968902</v>
      </c>
      <c r="F624" s="1100">
        <v>1.0059799301546608</v>
      </c>
      <c r="G624" s="1100">
        <v>1.0230773915412381</v>
      </c>
      <c r="H624" s="1100">
        <v>0.98587927678097842</v>
      </c>
      <c r="I624" s="1100">
        <v>1.0075758288195333</v>
      </c>
      <c r="K624">
        <v>1.3187002517850261</v>
      </c>
      <c r="L624">
        <v>0</v>
      </c>
      <c r="M624">
        <v>6.0688982129927804E-4</v>
      </c>
      <c r="N624">
        <v>5.2944134937608411E-2</v>
      </c>
      <c r="O624">
        <v>7.6643619015052747E-3</v>
      </c>
      <c r="P624">
        <v>1.6121281159221314E-2</v>
      </c>
      <c r="Q624">
        <v>4.3601796553014387E-4</v>
      </c>
      <c r="R624">
        <v>6.0507334417011648E-4</v>
      </c>
      <c r="S624">
        <v>5.9651782683300229E-2</v>
      </c>
      <c r="T624">
        <v>1.0390778672379577</v>
      </c>
      <c r="U624">
        <v>0</v>
      </c>
      <c r="V624">
        <v>9.8755480431491141E-2</v>
      </c>
      <c r="W624">
        <v>3.5144736403855882E-2</v>
      </c>
      <c r="X624">
        <v>7.2595953612278295E-3</v>
      </c>
      <c r="Y624">
        <v>1.6468101804567583E-3</v>
      </c>
    </row>
    <row r="625" spans="1:25" x14ac:dyDescent="0.25">
      <c r="A625" s="1096"/>
      <c r="B625" s="1455">
        <v>375</v>
      </c>
      <c r="C625" s="1100">
        <v>0.98130064119314064</v>
      </c>
      <c r="D625" s="1100">
        <v>0.97511510761904951</v>
      </c>
      <c r="E625" s="1100">
        <v>1.0076630601965155</v>
      </c>
      <c r="F625" s="1100">
        <v>0.9626508673792632</v>
      </c>
      <c r="G625" s="1100">
        <v>0.96769590882513412</v>
      </c>
      <c r="H625" s="1100">
        <v>0.95744075648002813</v>
      </c>
      <c r="I625" s="1100">
        <v>1.0144063426208356</v>
      </c>
      <c r="K625">
        <v>1.2764139132218966</v>
      </c>
      <c r="L625">
        <v>0</v>
      </c>
      <c r="M625">
        <v>5.8300132190107349E-4</v>
      </c>
      <c r="N625">
        <v>5.4857260516651789E-2</v>
      </c>
      <c r="O625">
        <v>7.9919263087988857E-3</v>
      </c>
      <c r="P625">
        <v>1.5807884014640394E-2</v>
      </c>
      <c r="Q625">
        <v>4.6628355073322124E-4</v>
      </c>
      <c r="R625">
        <v>5.8120451483347521E-4</v>
      </c>
      <c r="S625">
        <v>6.2117121916369485E-2</v>
      </c>
      <c r="T625">
        <v>0.99360161348917631</v>
      </c>
      <c r="U625">
        <v>0</v>
      </c>
      <c r="V625">
        <v>9.6637323105225284E-2</v>
      </c>
      <c r="W625">
        <v>3.5874224338827823E-2</v>
      </c>
      <c r="X625">
        <v>7.4802256931803812E-3</v>
      </c>
      <c r="Y625">
        <v>1.5818470953598966E-3</v>
      </c>
    </row>
    <row r="626" spans="1:25" x14ac:dyDescent="0.25">
      <c r="A626" s="1096"/>
      <c r="B626" s="1455">
        <v>376</v>
      </c>
      <c r="C626" s="1100">
        <v>0.98435431224277947</v>
      </c>
      <c r="D626" s="1100">
        <v>0.9803422144989774</v>
      </c>
      <c r="E626" s="1100">
        <v>0.99943016475537172</v>
      </c>
      <c r="F626" s="1100">
        <v>1.0143827521452171</v>
      </c>
      <c r="G626" s="1100">
        <v>0.99006070795852563</v>
      </c>
      <c r="H626" s="1100">
        <v>0.98522471508531251</v>
      </c>
      <c r="I626" s="1100">
        <v>1.041926110277299</v>
      </c>
      <c r="K626">
        <v>1.3357040903781372</v>
      </c>
      <c r="L626">
        <v>0</v>
      </c>
      <c r="M626">
        <v>6.0706554893233281E-4</v>
      </c>
      <c r="N626">
        <v>5.5723511861022972E-2</v>
      </c>
      <c r="O626">
        <v>7.9480437844319414E-3</v>
      </c>
      <c r="P626">
        <v>1.648629270039997E-2</v>
      </c>
      <c r="Q626">
        <v>4.599089865162634E-4</v>
      </c>
      <c r="R626">
        <v>6.052473386571679E-4</v>
      </c>
      <c r="S626">
        <v>6.4317747001488457E-2</v>
      </c>
      <c r="T626">
        <v>1.0472444555744906</v>
      </c>
      <c r="U626">
        <v>0</v>
      </c>
      <c r="V626">
        <v>9.7631734812100135E-2</v>
      </c>
      <c r="W626">
        <v>3.6618962015302729E-2</v>
      </c>
      <c r="X626">
        <v>7.6279681165654072E-3</v>
      </c>
      <c r="Y626">
        <v>1.647283736093245E-3</v>
      </c>
    </row>
    <row r="627" spans="1:25" x14ac:dyDescent="0.25">
      <c r="A627" s="1096"/>
      <c r="B627" s="1455">
        <v>377</v>
      </c>
      <c r="C627" s="1100">
        <v>0.99559077749138947</v>
      </c>
      <c r="D627" s="1100">
        <v>1.0133880581583561</v>
      </c>
      <c r="E627" s="1100">
        <v>0.99833911869701097</v>
      </c>
      <c r="F627" s="1100">
        <v>1.0338671350801361</v>
      </c>
      <c r="G627" s="1100">
        <v>1.0390577774378478</v>
      </c>
      <c r="H627" s="1100">
        <v>0.97261371236237915</v>
      </c>
      <c r="I627" s="1100">
        <v>1.0340756815202707</v>
      </c>
      <c r="K627">
        <v>1.3517639868912852</v>
      </c>
      <c r="L627">
        <v>0</v>
      </c>
      <c r="M627">
        <v>5.8605009259459363E-4</v>
      </c>
      <c r="N627">
        <v>5.3615336791321119E-2</v>
      </c>
      <c r="O627">
        <v>7.7545503425961301E-3</v>
      </c>
      <c r="P627">
        <v>1.6738698207635679E-2</v>
      </c>
      <c r="Q627">
        <v>4.4822046415954103E-4</v>
      </c>
      <c r="R627">
        <v>5.8427206634183409E-4</v>
      </c>
      <c r="S627">
        <v>6.1599182958951886E-2</v>
      </c>
      <c r="T627">
        <v>1.0673936623825018</v>
      </c>
      <c r="U627">
        <v>0</v>
      </c>
      <c r="V627">
        <v>9.9716669939109381E-2</v>
      </c>
      <c r="W627">
        <v>3.5256440116498242E-2</v>
      </c>
      <c r="X627">
        <v>7.6528077554169419E-3</v>
      </c>
      <c r="Y627">
        <v>1.5901959593475666E-3</v>
      </c>
    </row>
    <row r="628" spans="1:25" x14ac:dyDescent="0.25">
      <c r="A628" s="1096"/>
      <c r="B628" s="1455">
        <v>378</v>
      </c>
      <c r="C628" s="1100">
        <v>0.98462035307491802</v>
      </c>
      <c r="D628" s="1100">
        <v>0.99926759429744427</v>
      </c>
      <c r="E628" s="1100">
        <v>0.97464165765937216</v>
      </c>
      <c r="F628" s="1100">
        <v>1.0066986837657936</v>
      </c>
      <c r="G628" s="1100">
        <v>0.99872523577722827</v>
      </c>
      <c r="H628" s="1100">
        <v>0.99341790238727734</v>
      </c>
      <c r="I628" s="1100">
        <v>0.99449673126061044</v>
      </c>
      <c r="K628">
        <v>1.3231095328853226</v>
      </c>
      <c r="L628">
        <v>0</v>
      </c>
      <c r="M628">
        <v>6.3926190531303983E-4</v>
      </c>
      <c r="N628">
        <v>5.4442309157946754E-2</v>
      </c>
      <c r="O628">
        <v>7.8791860145837247E-3</v>
      </c>
      <c r="P628">
        <v>1.6044975953910759E-2</v>
      </c>
      <c r="Q628">
        <v>4.4462465579247606E-4</v>
      </c>
      <c r="R628">
        <v>6.373630553036402E-4</v>
      </c>
      <c r="S628">
        <v>6.0974064195650129E-2</v>
      </c>
      <c r="T628">
        <v>1.0400638940428628</v>
      </c>
      <c r="U628">
        <v>0</v>
      </c>
      <c r="V628">
        <v>9.8016434359854715E-2</v>
      </c>
      <c r="W628">
        <v>3.6313537551667829E-2</v>
      </c>
      <c r="X628">
        <v>7.1977136732009695E-3</v>
      </c>
      <c r="Y628">
        <v>1.7346921298617953E-3</v>
      </c>
    </row>
    <row r="629" spans="1:25" x14ac:dyDescent="0.25">
      <c r="A629" s="1096"/>
      <c r="B629" s="1455">
        <v>379</v>
      </c>
      <c r="C629" s="1100">
        <v>1.0003872934127307</v>
      </c>
      <c r="D629" s="1100">
        <v>0.97219036619518939</v>
      </c>
      <c r="E629" s="1100">
        <v>0.99755911514892992</v>
      </c>
      <c r="F629" s="1100">
        <v>1.0120633858170267</v>
      </c>
      <c r="G629" s="1100">
        <v>1.0270961291780787</v>
      </c>
      <c r="H629" s="1100">
        <v>1.0421576063590341</v>
      </c>
      <c r="I629" s="1100">
        <v>0.97455129203195479</v>
      </c>
      <c r="K629">
        <v>1.3354275295111466</v>
      </c>
      <c r="L629">
        <v>0</v>
      </c>
      <c r="M629">
        <v>6.364329980252212E-4</v>
      </c>
      <c r="N629">
        <v>5.8099390676742392E-2</v>
      </c>
      <c r="O629">
        <v>7.8463629792424102E-3</v>
      </c>
      <c r="P629">
        <v>1.6407461397591291E-2</v>
      </c>
      <c r="Q629">
        <v>4.5317147344661518E-4</v>
      </c>
      <c r="R629">
        <v>6.3463096351097843E-4</v>
      </c>
      <c r="S629">
        <v>6.1172037319326425E-2</v>
      </c>
      <c r="T629">
        <v>1.0449064003589752</v>
      </c>
      <c r="U629">
        <v>0</v>
      </c>
      <c r="V629">
        <v>9.901778427664662E-2</v>
      </c>
      <c r="W629">
        <v>3.8222814237496794E-2</v>
      </c>
      <c r="X629">
        <v>7.5766525495551814E-3</v>
      </c>
      <c r="Y629">
        <v>1.7272562766359875E-3</v>
      </c>
    </row>
    <row r="630" spans="1:25" x14ac:dyDescent="0.25">
      <c r="A630" s="1096"/>
      <c r="B630" s="1455">
        <v>380</v>
      </c>
      <c r="C630" s="1100">
        <v>1.0122922142993012</v>
      </c>
      <c r="D630" s="1100">
        <v>1.0049282684416048</v>
      </c>
      <c r="E630" s="1100">
        <v>1.0321109124731502</v>
      </c>
      <c r="F630" s="1100">
        <v>0.98672977688917629</v>
      </c>
      <c r="G630" s="1100">
        <v>0.99185424716752357</v>
      </c>
      <c r="H630" s="1100">
        <v>0.99347591946334857</v>
      </c>
      <c r="I630" s="1100">
        <v>1.0104296936815909</v>
      </c>
      <c r="K630">
        <v>1.3005990716929006</v>
      </c>
      <c r="L630">
        <v>0</v>
      </c>
      <c r="M630">
        <v>5.5066616655128112E-4</v>
      </c>
      <c r="N630">
        <v>5.5786979290503975E-2</v>
      </c>
      <c r="O630">
        <v>7.6604198969143613E-3</v>
      </c>
      <c r="P630">
        <v>1.6409130567884334E-2</v>
      </c>
      <c r="Q630">
        <v>4.579387211438184E-4</v>
      </c>
      <c r="R630">
        <v>5.4903057496679146E-4</v>
      </c>
      <c r="S630">
        <v>6.0132525722078174E-2</v>
      </c>
      <c r="T630">
        <v>1.017750908252159</v>
      </c>
      <c r="U630">
        <v>0</v>
      </c>
      <c r="V630">
        <v>9.7060112393885151E-2</v>
      </c>
      <c r="W630">
        <v>3.5964061944018848E-2</v>
      </c>
      <c r="X630">
        <v>7.8843502587172768E-3</v>
      </c>
      <c r="Y630">
        <v>1.49428023717921E-3</v>
      </c>
    </row>
    <row r="631" spans="1:25" x14ac:dyDescent="0.25">
      <c r="A631" s="1096"/>
      <c r="B631" s="1455">
        <v>381</v>
      </c>
      <c r="C631" s="1100">
        <v>1.02633708087842</v>
      </c>
      <c r="D631" s="1100">
        <v>0.97098543172794072</v>
      </c>
      <c r="E631" s="1100">
        <v>0.97330823960729662</v>
      </c>
      <c r="F631" s="1100">
        <v>1.0242402572752523</v>
      </c>
      <c r="G631" s="1100">
        <v>0.97126701587068798</v>
      </c>
      <c r="H631" s="1100">
        <v>1.0395004260705791</v>
      </c>
      <c r="I631" s="1100">
        <v>0.9898123953754242</v>
      </c>
      <c r="K631">
        <v>1.3397528931893743</v>
      </c>
      <c r="L631">
        <v>0</v>
      </c>
      <c r="M631">
        <v>6.5092991213317331E-4</v>
      </c>
      <c r="N631">
        <v>5.5219996116377061E-2</v>
      </c>
      <c r="O631">
        <v>7.6459160686970914E-3</v>
      </c>
      <c r="P631">
        <v>1.6233596285316079E-2</v>
      </c>
      <c r="Q631">
        <v>4.3087484929053729E-4</v>
      </c>
      <c r="R631">
        <v>6.4908211888537403E-4</v>
      </c>
      <c r="S631">
        <v>6.049643846120157E-2</v>
      </c>
      <c r="T631">
        <v>1.0582285657645774</v>
      </c>
      <c r="U631">
        <v>0</v>
      </c>
      <c r="V631">
        <v>9.5664217223907375E-2</v>
      </c>
      <c r="W631">
        <v>3.6862071707182059E-2</v>
      </c>
      <c r="X631">
        <v>7.2064769483291815E-3</v>
      </c>
      <c r="Y631">
        <v>1.7665875577430033E-3</v>
      </c>
    </row>
    <row r="632" spans="1:25" x14ac:dyDescent="0.25">
      <c r="A632" s="1096"/>
      <c r="B632" s="1455">
        <v>382</v>
      </c>
      <c r="C632" s="1100">
        <v>0.99615433453395963</v>
      </c>
      <c r="D632" s="1100">
        <v>1.0360146520003624</v>
      </c>
      <c r="E632" s="1100">
        <v>0.99982000419789918</v>
      </c>
      <c r="F632" s="1100">
        <v>1.0202239833703741</v>
      </c>
      <c r="G632" s="1100">
        <v>1.0289155944191977</v>
      </c>
      <c r="H632" s="1100">
        <v>1.0158949814436267</v>
      </c>
      <c r="I632" s="1100">
        <v>0.99627361883305521</v>
      </c>
      <c r="K632">
        <v>1.3383591834186725</v>
      </c>
      <c r="L632">
        <v>0</v>
      </c>
      <c r="M632">
        <v>6.0454338838178434E-4</v>
      </c>
      <c r="N632">
        <v>5.5562435640462593E-2</v>
      </c>
      <c r="O632">
        <v>7.6823687068744923E-3</v>
      </c>
      <c r="P632">
        <v>1.6534720299658408E-2</v>
      </c>
      <c r="Q632">
        <v>4.4471011626693745E-4</v>
      </c>
      <c r="R632">
        <v>6.0278739659892018E-4</v>
      </c>
      <c r="S632">
        <v>5.9918457476866763E-2</v>
      </c>
      <c r="T632">
        <v>1.053263075222697</v>
      </c>
      <c r="U632">
        <v>0</v>
      </c>
      <c r="V632">
        <v>9.9213613867139464E-2</v>
      </c>
      <c r="W632">
        <v>3.6504648453570189E-2</v>
      </c>
      <c r="X632">
        <v>7.5963210421890236E-3</v>
      </c>
      <c r="Y632">
        <v>1.6405885847303758E-3</v>
      </c>
    </row>
    <row r="633" spans="1:25" x14ac:dyDescent="0.25">
      <c r="A633" s="1096"/>
      <c r="B633" s="1455">
        <v>383</v>
      </c>
      <c r="C633" s="1100">
        <v>1.0003149278641064</v>
      </c>
      <c r="D633" s="1100">
        <v>1.0027674889378861</v>
      </c>
      <c r="E633" s="1100">
        <v>0.99031647060623618</v>
      </c>
      <c r="F633" s="1100">
        <v>0.98105724430155627</v>
      </c>
      <c r="G633" s="1100">
        <v>0.98351625630318484</v>
      </c>
      <c r="H633" s="1100">
        <v>0.97160474926669171</v>
      </c>
      <c r="I633" s="1100">
        <v>0.98495155754675523</v>
      </c>
      <c r="K633">
        <v>1.2898098810367129</v>
      </c>
      <c r="L633">
        <v>0</v>
      </c>
      <c r="M633">
        <v>5.9494826440776758E-4</v>
      </c>
      <c r="N633">
        <v>5.3125281881029676E-2</v>
      </c>
      <c r="O633">
        <v>7.7485571304217174E-3</v>
      </c>
      <c r="P633">
        <v>1.5825712156913141E-2</v>
      </c>
      <c r="Q633">
        <v>4.4426555098809109E-4</v>
      </c>
      <c r="R633">
        <v>5.931413674308293E-4</v>
      </c>
      <c r="S633">
        <v>5.8689855624228772E-2</v>
      </c>
      <c r="T633">
        <v>1.0131068409629427</v>
      </c>
      <c r="U633">
        <v>0</v>
      </c>
      <c r="V633">
        <v>9.6903329226980014E-2</v>
      </c>
      <c r="W633">
        <v>3.5101912927788581E-2</v>
      </c>
      <c r="X633">
        <v>7.2515971992495451E-3</v>
      </c>
      <c r="Y633">
        <v>1.6143352731474933E-3</v>
      </c>
    </row>
    <row r="634" spans="1:25" x14ac:dyDescent="0.25">
      <c r="A634" s="1096"/>
      <c r="B634" s="1455">
        <v>384</v>
      </c>
      <c r="C634" s="1100">
        <v>0.98674157707911314</v>
      </c>
      <c r="D634" s="1100">
        <v>0.95844035890396517</v>
      </c>
      <c r="E634" s="1100">
        <v>0.98416952794852275</v>
      </c>
      <c r="F634" s="1100">
        <v>1.0007309598637446</v>
      </c>
      <c r="G634" s="1100">
        <v>0.99294950611679933</v>
      </c>
      <c r="H634" s="1100">
        <v>0.98375243324226647</v>
      </c>
      <c r="I634" s="1100">
        <v>0.99541733484413308</v>
      </c>
      <c r="K634">
        <v>1.3186789406273294</v>
      </c>
      <c r="L634">
        <v>0</v>
      </c>
      <c r="M634">
        <v>6.2978056517755886E-4</v>
      </c>
      <c r="N634">
        <v>5.5201983853610873E-2</v>
      </c>
      <c r="O634">
        <v>7.9969417575371706E-3</v>
      </c>
      <c r="P634">
        <v>1.6083899386848583E-2</v>
      </c>
      <c r="Q634">
        <v>4.5566248521246695E-4</v>
      </c>
      <c r="R634">
        <v>6.2789149864869774E-4</v>
      </c>
      <c r="S634">
        <v>6.1986807881857786E-2</v>
      </c>
      <c r="T634">
        <v>1.0336087066695934</v>
      </c>
      <c r="U634">
        <v>0</v>
      </c>
      <c r="V634">
        <v>9.7693554667656571E-2</v>
      </c>
      <c r="W634">
        <v>3.6608923658045051E-2</v>
      </c>
      <c r="X634">
        <v>7.3354356585493986E-3</v>
      </c>
      <c r="Y634">
        <v>1.7089136749448538E-3</v>
      </c>
    </row>
    <row r="635" spans="1:25" x14ac:dyDescent="0.25">
      <c r="A635" s="1096"/>
      <c r="B635" s="1455">
        <v>385</v>
      </c>
      <c r="C635" s="1100">
        <v>1.0281419349966883</v>
      </c>
      <c r="D635" s="1100">
        <v>0.98245548624402856</v>
      </c>
      <c r="E635" s="1100">
        <v>1.0329540635190289</v>
      </c>
      <c r="F635" s="1100">
        <v>0.97573369033209889</v>
      </c>
      <c r="G635" s="1100">
        <v>1.0334642806420724</v>
      </c>
      <c r="H635" s="1100">
        <v>1.0081714991247199</v>
      </c>
      <c r="I635" s="1100">
        <v>1.0014610637380321</v>
      </c>
      <c r="K635">
        <v>1.2911777763433909</v>
      </c>
      <c r="L635">
        <v>0</v>
      </c>
      <c r="M635">
        <v>5.5422210564035155E-4</v>
      </c>
      <c r="N635">
        <v>5.6292535937975167E-2</v>
      </c>
      <c r="O635">
        <v>7.6110731600989813E-3</v>
      </c>
      <c r="P635">
        <v>1.6279113935671573E-2</v>
      </c>
      <c r="Q635">
        <v>4.5536769905433209E-4</v>
      </c>
      <c r="R635">
        <v>5.5259994728986545E-4</v>
      </c>
      <c r="S635">
        <v>5.9838240827829341E-2</v>
      </c>
      <c r="T635">
        <v>1.0063854291698511</v>
      </c>
      <c r="U635">
        <v>0</v>
      </c>
      <c r="V635">
        <v>9.8696856581759335E-2</v>
      </c>
      <c r="W635">
        <v>3.6272256192856622E-2</v>
      </c>
      <c r="X635">
        <v>7.844530104645293E-3</v>
      </c>
      <c r="Y635">
        <v>1.5039948919993472E-3</v>
      </c>
    </row>
    <row r="636" spans="1:25" x14ac:dyDescent="0.25">
      <c r="A636" s="1096"/>
      <c r="B636" s="1455">
        <v>386</v>
      </c>
      <c r="C636" s="1100">
        <v>0.99130470243839763</v>
      </c>
      <c r="D636" s="1100">
        <v>1.0015620392475553</v>
      </c>
      <c r="E636" s="1100">
        <v>1.0022836954806593</v>
      </c>
      <c r="F636" s="1100">
        <v>1.0160142645446681</v>
      </c>
      <c r="G636" s="1100">
        <v>0.99836332105798076</v>
      </c>
      <c r="H636" s="1100">
        <v>0.99622962740769483</v>
      </c>
      <c r="I636" s="1100">
        <v>0.99860253298807722</v>
      </c>
      <c r="K636">
        <v>1.3337175530918666</v>
      </c>
      <c r="L636">
        <v>0</v>
      </c>
      <c r="M636">
        <v>6.0077657570301903E-4</v>
      </c>
      <c r="N636">
        <v>5.5625530862002677E-2</v>
      </c>
      <c r="O636">
        <v>7.825708537256738E-3</v>
      </c>
      <c r="P636">
        <v>1.6498973209160848E-2</v>
      </c>
      <c r="Q636">
        <v>4.5413023197293865E-4</v>
      </c>
      <c r="R636">
        <v>5.9899707830949234E-4</v>
      </c>
      <c r="S636">
        <v>6.0851604070646555E-2</v>
      </c>
      <c r="T636">
        <v>1.0488426002979223</v>
      </c>
      <c r="U636">
        <v>0</v>
      </c>
      <c r="V636">
        <v>9.7860059686554243E-2</v>
      </c>
      <c r="W636">
        <v>3.6492671819117216E-2</v>
      </c>
      <c r="X636">
        <v>7.6377812868020116E-3</v>
      </c>
      <c r="Y636">
        <v>1.6302725878246417E-3</v>
      </c>
    </row>
    <row r="637" spans="1:25" x14ac:dyDescent="0.25">
      <c r="A637" s="1096"/>
      <c r="B637" s="1455">
        <v>387</v>
      </c>
      <c r="C637" s="1100">
        <v>1.0156830409011259</v>
      </c>
      <c r="D637" s="1100">
        <v>0.98526524914877922</v>
      </c>
      <c r="E637" s="1100">
        <v>0.9810494544516104</v>
      </c>
      <c r="F637" s="1100">
        <v>1.0121001251770667</v>
      </c>
      <c r="G637" s="1100">
        <v>1.0040896869551177</v>
      </c>
      <c r="H637" s="1100">
        <v>1.0128022158233099</v>
      </c>
      <c r="I637" s="1100">
        <v>1.0293054347737767</v>
      </c>
      <c r="K637">
        <v>1.3291469265395779</v>
      </c>
      <c r="L637">
        <v>0</v>
      </c>
      <c r="M637">
        <v>6.2701965348444053E-4</v>
      </c>
      <c r="N637">
        <v>5.4448382789503508E-2</v>
      </c>
      <c r="O637">
        <v>7.6830060201772575E-3</v>
      </c>
      <c r="P637">
        <v>1.6206247614275894E-2</v>
      </c>
      <c r="Q637">
        <v>4.3639047419446753E-4</v>
      </c>
      <c r="R637">
        <v>6.2519281425429301E-4</v>
      </c>
      <c r="S637">
        <v>6.2253162649272928E-2</v>
      </c>
      <c r="T637">
        <v>1.0454470249941177</v>
      </c>
      <c r="U637">
        <v>0</v>
      </c>
      <c r="V637">
        <v>9.7513499784324817E-2</v>
      </c>
      <c r="W637">
        <v>3.6177101545172057E-2</v>
      </c>
      <c r="X637">
        <v>7.2823687621235578E-3</v>
      </c>
      <c r="Y637">
        <v>1.701568745644356E-3</v>
      </c>
    </row>
    <row r="638" spans="1:25" x14ac:dyDescent="0.25">
      <c r="A638" s="1096"/>
      <c r="B638" s="1455">
        <v>388</v>
      </c>
      <c r="C638" s="1100">
        <v>1.007390796492031</v>
      </c>
      <c r="D638" s="1100">
        <v>0.98468568267408529</v>
      </c>
      <c r="E638" s="1100">
        <v>1.0054267819117495</v>
      </c>
      <c r="F638" s="1100">
        <v>1.0139708967125123</v>
      </c>
      <c r="G638" s="1100">
        <v>1.014840352725241</v>
      </c>
      <c r="H638" s="1100">
        <v>0.99635569852828232</v>
      </c>
      <c r="I638" s="1100">
        <v>0.96335909040646084</v>
      </c>
      <c r="K638">
        <v>1.3286170630431269</v>
      </c>
      <c r="L638">
        <v>0</v>
      </c>
      <c r="M638">
        <v>5.9142006860650356E-4</v>
      </c>
      <c r="N638">
        <v>5.5281556882282874E-2</v>
      </c>
      <c r="O638">
        <v>7.7540418313008404E-3</v>
      </c>
      <c r="P638">
        <v>1.6477966826249142E-2</v>
      </c>
      <c r="Q638">
        <v>4.5139220712233269E-4</v>
      </c>
      <c r="R638">
        <v>5.896685068001097E-4</v>
      </c>
      <c r="S638">
        <v>5.8302624373669974E-2</v>
      </c>
      <c r="T638">
        <v>1.0466387140196707</v>
      </c>
      <c r="U638">
        <v>0</v>
      </c>
      <c r="V638">
        <v>9.8261476515465199E-2</v>
      </c>
      <c r="W638">
        <v>3.6199529550530227E-2</v>
      </c>
      <c r="X638">
        <v>7.6466291073010052E-3</v>
      </c>
      <c r="Y638">
        <v>1.6048832913388739E-3</v>
      </c>
    </row>
    <row r="639" spans="1:25" x14ac:dyDescent="0.25">
      <c r="A639" s="1096"/>
      <c r="B639" s="1455">
        <v>389</v>
      </c>
      <c r="C639" s="1100">
        <v>1.0033987606032795</v>
      </c>
      <c r="D639" s="1100">
        <v>0.98086981669646556</v>
      </c>
      <c r="E639" s="1100">
        <v>0.99994054305240176</v>
      </c>
      <c r="F639" s="1100">
        <v>1.0043643167122669</v>
      </c>
      <c r="G639" s="1100">
        <v>0.99821456606717418</v>
      </c>
      <c r="H639" s="1100">
        <v>0.9908583484871335</v>
      </c>
      <c r="I639" s="1100">
        <v>1.0355399880238261</v>
      </c>
      <c r="K639">
        <v>1.3221731533660266</v>
      </c>
      <c r="L639">
        <v>0</v>
      </c>
      <c r="M639">
        <v>5.9818638872843281E-4</v>
      </c>
      <c r="N639">
        <v>5.4994153015531899E-2</v>
      </c>
      <c r="O639">
        <v>7.7956383227901337E-3</v>
      </c>
      <c r="P639">
        <v>1.633043837983561E-2</v>
      </c>
      <c r="Q639">
        <v>4.5132165075616101E-4</v>
      </c>
      <c r="R639">
        <v>5.9640495868534544E-4</v>
      </c>
      <c r="S639">
        <v>6.2871548535251787E-2</v>
      </c>
      <c r="T639">
        <v>1.0368862027173436</v>
      </c>
      <c r="U639">
        <v>0</v>
      </c>
      <c r="V639">
        <v>9.7548910195562333E-2</v>
      </c>
      <c r="W639">
        <v>3.6128696798996301E-2</v>
      </c>
      <c r="X639">
        <v>7.5448074873024455E-3</v>
      </c>
      <c r="Y639">
        <v>1.6232176926997187E-3</v>
      </c>
    </row>
    <row r="640" spans="1:25" x14ac:dyDescent="0.25">
      <c r="A640" s="1096"/>
      <c r="B640" s="1455">
        <v>390</v>
      </c>
      <c r="C640" s="1100">
        <v>1.0054625550020742</v>
      </c>
      <c r="D640" s="1100">
        <v>1.0036810502536759</v>
      </c>
      <c r="E640" s="1100">
        <v>0.97954743507385711</v>
      </c>
      <c r="F640" s="1100">
        <v>0.98552733684678551</v>
      </c>
      <c r="G640" s="1100">
        <v>1.0039891474758817</v>
      </c>
      <c r="H640" s="1100">
        <v>0.97419627934931974</v>
      </c>
      <c r="I640" s="1100">
        <v>0.98708148752047875</v>
      </c>
      <c r="K640">
        <v>1.2943279825315406</v>
      </c>
      <c r="L640">
        <v>0</v>
      </c>
      <c r="M640">
        <v>6.0663459374440465E-4</v>
      </c>
      <c r="N640">
        <v>5.243328408272771E-2</v>
      </c>
      <c r="O640">
        <v>7.7034607106081354E-3</v>
      </c>
      <c r="P640">
        <v>1.5773270257486448E-2</v>
      </c>
      <c r="Q640">
        <v>4.3688492067767485E-4</v>
      </c>
      <c r="R640">
        <v>6.0479710569004527E-4</v>
      </c>
      <c r="S640">
        <v>5.8554388704722141E-2</v>
      </c>
      <c r="T640">
        <v>1.0180436427137416</v>
      </c>
      <c r="U640">
        <v>0</v>
      </c>
      <c r="V640">
        <v>9.7754926984990387E-2</v>
      </c>
      <c r="W640">
        <v>3.4869814419938826E-2</v>
      </c>
      <c r="X640">
        <v>7.1140888743249009E-3</v>
      </c>
      <c r="Y640">
        <v>1.6460583503759949E-3</v>
      </c>
    </row>
    <row r="641" spans="1:25" x14ac:dyDescent="0.25">
      <c r="A641" s="1096"/>
      <c r="B641" s="1455">
        <v>391</v>
      </c>
      <c r="C641" s="1100">
        <v>0.95983764769360813</v>
      </c>
      <c r="D641" s="1100">
        <v>0.9990222302694054</v>
      </c>
      <c r="E641" s="1100">
        <v>0.99699152657607037</v>
      </c>
      <c r="F641" s="1100">
        <v>0.99995792770270808</v>
      </c>
      <c r="G641" s="1100">
        <v>1.0100114445885353</v>
      </c>
      <c r="H641" s="1100">
        <v>1.0042618770308991</v>
      </c>
      <c r="I641" s="1100">
        <v>0.98542674564154165</v>
      </c>
      <c r="K641">
        <v>1.3237366584379666</v>
      </c>
      <c r="L641">
        <v>0</v>
      </c>
      <c r="M641">
        <v>6.3302114210927768E-4</v>
      </c>
      <c r="N641">
        <v>5.7682714138393015E-2</v>
      </c>
      <c r="O641">
        <v>8.0891232572523532E-3</v>
      </c>
      <c r="P641">
        <v>1.6249655504714928E-2</v>
      </c>
      <c r="Q641">
        <v>4.6692536865920622E-4</v>
      </c>
      <c r="R641">
        <v>6.311611330613512E-4</v>
      </c>
      <c r="S641">
        <v>6.2348479643473877E-2</v>
      </c>
      <c r="T641">
        <v>1.0324250412101035</v>
      </c>
      <c r="U641">
        <v>0</v>
      </c>
      <c r="V641">
        <v>9.9237190421140681E-2</v>
      </c>
      <c r="W641">
        <v>3.7961519789872895E-2</v>
      </c>
      <c r="X641">
        <v>7.5600565714216165E-3</v>
      </c>
      <c r="Y641">
        <v>1.7178125419814018E-3</v>
      </c>
    </row>
    <row r="642" spans="1:25" x14ac:dyDescent="0.25">
      <c r="A642" s="1096"/>
      <c r="B642" s="1455">
        <v>392</v>
      </c>
      <c r="C642" s="1100">
        <v>0.97198954082213984</v>
      </c>
      <c r="D642" s="1100">
        <v>1.0176789764268399</v>
      </c>
      <c r="E642" s="1100">
        <v>1.0244943610439956</v>
      </c>
      <c r="F642" s="1100">
        <v>0.97329746559318719</v>
      </c>
      <c r="G642" s="1100">
        <v>0.98960813449460328</v>
      </c>
      <c r="H642" s="1100">
        <v>0.98329457275971133</v>
      </c>
      <c r="I642" s="1100">
        <v>0.97993552026965147</v>
      </c>
      <c r="K642">
        <v>1.2895512468578869</v>
      </c>
      <c r="L642">
        <v>0</v>
      </c>
      <c r="M642">
        <v>5.7379893586824882E-4</v>
      </c>
      <c r="N642">
        <v>5.6809094928777448E-2</v>
      </c>
      <c r="O642">
        <v>7.9359992854028984E-3</v>
      </c>
      <c r="P642">
        <v>1.6139769115156303E-2</v>
      </c>
      <c r="Q642">
        <v>4.7085038404043431E-4</v>
      </c>
      <c r="R642">
        <v>5.7207698833449446E-4</v>
      </c>
      <c r="S642">
        <v>6.0007626605242316E-2</v>
      </c>
      <c r="T642">
        <v>1.0041107368090527</v>
      </c>
      <c r="U642">
        <v>0</v>
      </c>
      <c r="V642">
        <v>9.7958421532584369E-2</v>
      </c>
      <c r="W642">
        <v>3.6785480792374668E-2</v>
      </c>
      <c r="X642">
        <v>7.7779843756703021E-3</v>
      </c>
      <c r="Y642">
        <v>1.5570049771179725E-3</v>
      </c>
    </row>
    <row r="643" spans="1:25" x14ac:dyDescent="0.25">
      <c r="A643" s="1096"/>
      <c r="B643" s="1455">
        <v>393</v>
      </c>
      <c r="C643" s="1100">
        <v>1.0006062648761671</v>
      </c>
      <c r="D643" s="1100">
        <v>0.98788871764254194</v>
      </c>
      <c r="E643" s="1100">
        <v>1.0343340988690417</v>
      </c>
      <c r="F643" s="1100">
        <v>0.99790621517516642</v>
      </c>
      <c r="G643" s="1100">
        <v>1.0331476962810793</v>
      </c>
      <c r="H643" s="1100">
        <v>0.98236252551984249</v>
      </c>
      <c r="I643" s="1100">
        <v>0.98747676249937233</v>
      </c>
      <c r="K643">
        <v>1.3151884110121796</v>
      </c>
      <c r="L643">
        <v>0</v>
      </c>
      <c r="M643">
        <v>5.5208181499974147E-4</v>
      </c>
      <c r="N643">
        <v>5.6304511345324763E-2</v>
      </c>
      <c r="O643">
        <v>7.8036309855309353E-3</v>
      </c>
      <c r="P643">
        <v>1.662141072237544E-2</v>
      </c>
      <c r="Q643">
        <v>4.6752456158353323E-4</v>
      </c>
      <c r="R643">
        <v>5.5042346775492927E-4</v>
      </c>
      <c r="S643">
        <v>5.966671348853194E-2</v>
      </c>
      <c r="T643">
        <v>1.0292148651543269</v>
      </c>
      <c r="U643">
        <v>0</v>
      </c>
      <c r="V643">
        <v>9.9346799057659238E-2</v>
      </c>
      <c r="W643">
        <v>3.6251004053169687E-2</v>
      </c>
      <c r="X643">
        <v>8.0155387587414091E-3</v>
      </c>
      <c r="Y643">
        <v>1.4980712321815371E-3</v>
      </c>
    </row>
    <row r="644" spans="1:25" x14ac:dyDescent="0.25">
      <c r="A644" s="1096"/>
      <c r="B644" s="1455">
        <v>394</v>
      </c>
      <c r="C644" s="1100">
        <v>1.0141104966573247</v>
      </c>
      <c r="D644" s="1100">
        <v>0.99670014812171048</v>
      </c>
      <c r="E644" s="1100">
        <v>1.0027146910559146</v>
      </c>
      <c r="F644" s="1100">
        <v>0.95859893184100764</v>
      </c>
      <c r="G644" s="1100">
        <v>0.99118750892553753</v>
      </c>
      <c r="H644" s="1100">
        <v>1.0180285453355093</v>
      </c>
      <c r="I644" s="1100">
        <v>1.0010744835078305</v>
      </c>
      <c r="K644">
        <v>1.2719267763945221</v>
      </c>
      <c r="L644">
        <v>0</v>
      </c>
      <c r="M644">
        <v>6.0074795096492757E-4</v>
      </c>
      <c r="N644">
        <v>5.5698885590505426E-2</v>
      </c>
      <c r="O644">
        <v>7.6647291360048189E-3</v>
      </c>
      <c r="P644">
        <v>1.5676085909388644E-2</v>
      </c>
      <c r="Q644">
        <v>4.4498097762563885E-4</v>
      </c>
      <c r="R644">
        <v>5.9900664069736681E-4</v>
      </c>
      <c r="S644">
        <v>6.0444696838990744E-2</v>
      </c>
      <c r="T644">
        <v>0.98955985974828342</v>
      </c>
      <c r="U644">
        <v>0</v>
      </c>
      <c r="V644">
        <v>9.6951150188895691E-2</v>
      </c>
      <c r="W644">
        <v>3.6531454928819422E-2</v>
      </c>
      <c r="X644">
        <v>7.3263757727827505E-3</v>
      </c>
      <c r="Y644">
        <v>1.6302986134921964E-3</v>
      </c>
    </row>
    <row r="645" spans="1:25" x14ac:dyDescent="0.25">
      <c r="A645" s="1096"/>
      <c r="B645" s="1455">
        <v>395</v>
      </c>
      <c r="C645" s="1100">
        <v>1.0000415551159219</v>
      </c>
      <c r="D645" s="1100">
        <v>1.0152638380712935</v>
      </c>
      <c r="E645" s="1100">
        <v>1.012733705443255</v>
      </c>
      <c r="F645" s="1100">
        <v>0.98290127152358142</v>
      </c>
      <c r="G645" s="1100">
        <v>0.9907113985957553</v>
      </c>
      <c r="H645" s="1100">
        <v>1.0117227743579214</v>
      </c>
      <c r="I645" s="1100">
        <v>1.0369562434314916</v>
      </c>
      <c r="K645">
        <v>1.3007930740000637</v>
      </c>
      <c r="L645">
        <v>0</v>
      </c>
      <c r="M645">
        <v>5.8859809931516174E-4</v>
      </c>
      <c r="N645">
        <v>5.6247556606908042E-2</v>
      </c>
      <c r="O645">
        <v>7.7178445154517479E-3</v>
      </c>
      <c r="P645">
        <v>1.6169661692694546E-2</v>
      </c>
      <c r="Q645">
        <v>4.5258042614577948E-4</v>
      </c>
      <c r="R645">
        <v>5.8688137267162894E-4</v>
      </c>
      <c r="S645">
        <v>6.2680055307801102E-2</v>
      </c>
      <c r="T645">
        <v>1.0143562647866393</v>
      </c>
      <c r="U645">
        <v>0</v>
      </c>
      <c r="V645">
        <v>9.7283119939283846E-2</v>
      </c>
      <c r="W645">
        <v>3.6673614030210688E-2</v>
      </c>
      <c r="X645">
        <v>7.6167957905524932E-3</v>
      </c>
      <c r="Y645">
        <v>1.5972976310196676E-3</v>
      </c>
    </row>
    <row r="646" spans="1:25" x14ac:dyDescent="0.25">
      <c r="A646" s="1096"/>
      <c r="B646" s="1455">
        <v>396</v>
      </c>
      <c r="C646" s="1100">
        <v>0.99834870836933953</v>
      </c>
      <c r="D646" s="1100">
        <v>1.0059410298398392</v>
      </c>
      <c r="E646" s="1100">
        <v>0.97719492543591224</v>
      </c>
      <c r="F646" s="1100">
        <v>0.99964301365203589</v>
      </c>
      <c r="G646" s="1100">
        <v>1.0229309754525966</v>
      </c>
      <c r="H646" s="1100">
        <v>0.99063515772621047</v>
      </c>
      <c r="I646" s="1100">
        <v>1.0057748327819993</v>
      </c>
      <c r="K646">
        <v>1.3142786457502651</v>
      </c>
      <c r="L646">
        <v>0</v>
      </c>
      <c r="M646">
        <v>6.2373402243723634E-4</v>
      </c>
      <c r="N646">
        <v>5.3531521042806049E-2</v>
      </c>
      <c r="O646">
        <v>7.7508007613562267E-3</v>
      </c>
      <c r="P646">
        <v>1.5982455730041752E-2</v>
      </c>
      <c r="Q646">
        <v>4.3851896367387588E-4</v>
      </c>
      <c r="R646">
        <v>6.2187609171922384E-4</v>
      </c>
      <c r="S646">
        <v>6.051780992092122E-2</v>
      </c>
      <c r="T646">
        <v>1.032696567537295</v>
      </c>
      <c r="U646">
        <v>0</v>
      </c>
      <c r="V646">
        <v>9.8844106410040544E-2</v>
      </c>
      <c r="W646">
        <v>3.565084863725098E-2</v>
      </c>
      <c r="X646">
        <v>7.1753329573339937E-3</v>
      </c>
      <c r="Y646">
        <v>1.6925417202611876E-3</v>
      </c>
    </row>
    <row r="647" spans="1:25" x14ac:dyDescent="0.25">
      <c r="A647" s="1096"/>
      <c r="B647" s="1455">
        <v>397</v>
      </c>
      <c r="C647" s="1100">
        <v>0.9765487258157709</v>
      </c>
      <c r="D647" s="1100">
        <v>0.98705121398236328</v>
      </c>
      <c r="E647" s="1100">
        <v>1.0081788353179675</v>
      </c>
      <c r="F647" s="1100">
        <v>1.0265750072167799</v>
      </c>
      <c r="G647" s="1100">
        <v>1.0201105764225542</v>
      </c>
      <c r="H647" s="1100">
        <v>1.0046966737662026</v>
      </c>
      <c r="I647" s="1100">
        <v>1.0253410209002969</v>
      </c>
      <c r="K647">
        <v>1.353067900393679</v>
      </c>
      <c r="L647">
        <v>0</v>
      </c>
      <c r="M647">
        <v>6.1111371150156116E-4</v>
      </c>
      <c r="N647">
        <v>5.7600480206204896E-2</v>
      </c>
      <c r="O647">
        <v>7.9919582390310107E-3</v>
      </c>
      <c r="P647">
        <v>1.6784231550651549E-2</v>
      </c>
      <c r="Q647">
        <v>4.6652616347557285E-4</v>
      </c>
      <c r="R647">
        <v>6.093188502496738E-4</v>
      </c>
      <c r="S647">
        <v>6.4202869290427608E-2</v>
      </c>
      <c r="T647">
        <v>1.0595653801542571</v>
      </c>
      <c r="U647">
        <v>0</v>
      </c>
      <c r="V647">
        <v>9.929660316654812E-2</v>
      </c>
      <c r="W647">
        <v>3.7656695352968748E-2</v>
      </c>
      <c r="X647">
        <v>7.8465860828901921E-3</v>
      </c>
      <c r="Y647">
        <v>1.6583650484746101E-3</v>
      </c>
    </row>
    <row r="648" spans="1:25" x14ac:dyDescent="0.25">
      <c r="A648" s="1096"/>
      <c r="B648" s="1455">
        <v>398</v>
      </c>
      <c r="C648" s="1100">
        <v>1.0344193151999483</v>
      </c>
      <c r="D648" s="1100">
        <v>0.99103827859185289</v>
      </c>
      <c r="E648" s="1100">
        <v>1.0113109587775977</v>
      </c>
      <c r="F648" s="1100">
        <v>0.98284077737291864</v>
      </c>
      <c r="G648" s="1100">
        <v>1.0250631164464845</v>
      </c>
      <c r="H648" s="1100">
        <v>1.0298739834057036</v>
      </c>
      <c r="I648" s="1100">
        <v>1.0307323410929683</v>
      </c>
      <c r="K648">
        <v>1.2995374960169408</v>
      </c>
      <c r="L648">
        <v>0</v>
      </c>
      <c r="M648">
        <v>5.8660033334047225E-4</v>
      </c>
      <c r="N648">
        <v>5.5819297460971834E-2</v>
      </c>
      <c r="O648">
        <v>7.5334389973757817E-3</v>
      </c>
      <c r="P648">
        <v>1.6148634925409498E-2</v>
      </c>
      <c r="Q648">
        <v>4.4113959381529192E-4</v>
      </c>
      <c r="R648">
        <v>5.8491958753295083E-4</v>
      </c>
      <c r="S648">
        <v>6.1570175003895826E-2</v>
      </c>
      <c r="T648">
        <v>1.0143349561811523</v>
      </c>
      <c r="U648">
        <v>0</v>
      </c>
      <c r="V648">
        <v>9.8119735238245603E-2</v>
      </c>
      <c r="W648">
        <v>3.6424885085824199E-2</v>
      </c>
      <c r="X648">
        <v>7.554955977484101E-3</v>
      </c>
      <c r="Y648">
        <v>1.5919582985744834E-3</v>
      </c>
    </row>
    <row r="649" spans="1:25" x14ac:dyDescent="0.25">
      <c r="A649" s="1096"/>
      <c r="B649" s="1455">
        <v>399</v>
      </c>
      <c r="C649" s="1100">
        <v>1.0415580292007325</v>
      </c>
      <c r="D649" s="1100">
        <v>1.024460116825074</v>
      </c>
      <c r="E649" s="1100">
        <v>1.0231934540434067</v>
      </c>
      <c r="F649" s="1100">
        <v>1.0298331912436469</v>
      </c>
      <c r="G649" s="1100">
        <v>1.0220783989981732</v>
      </c>
      <c r="H649" s="1100">
        <v>0.95385153585851123</v>
      </c>
      <c r="I649" s="1100">
        <v>1.0243191236648155</v>
      </c>
      <c r="K649">
        <v>1.3361544809889629</v>
      </c>
      <c r="L649">
        <v>0</v>
      </c>
      <c r="M649">
        <v>5.1946645147063627E-4</v>
      </c>
      <c r="N649">
        <v>5.1223747938337207E-2</v>
      </c>
      <c r="O649">
        <v>7.3859798855116536E-3</v>
      </c>
      <c r="P649">
        <v>1.6896856468634341E-2</v>
      </c>
      <c r="Q649">
        <v>4.3765203055920872E-4</v>
      </c>
      <c r="R649">
        <v>5.1785943421564344E-4</v>
      </c>
      <c r="S649">
        <v>5.7450343449898966E-2</v>
      </c>
      <c r="T649">
        <v>1.0624752348994115</v>
      </c>
      <c r="U649">
        <v>0</v>
      </c>
      <c r="V649">
        <v>9.7824342332186676E-2</v>
      </c>
      <c r="W649">
        <v>3.3193990280324201E-2</v>
      </c>
      <c r="X649">
        <v>7.8584980537366976E-3</v>
      </c>
      <c r="Y649">
        <v>1.4094426676183719E-3</v>
      </c>
    </row>
    <row r="650" spans="1:25" x14ac:dyDescent="0.25">
      <c r="A650" s="1096"/>
      <c r="B650" s="1455">
        <v>400</v>
      </c>
      <c r="C650" s="1100">
        <v>1.0007565467269119</v>
      </c>
      <c r="D650" s="1100">
        <v>1.0012317367466705</v>
      </c>
      <c r="E650" s="1100">
        <v>1.0018300784427892</v>
      </c>
      <c r="F650" s="1100">
        <v>0.97997606784577784</v>
      </c>
      <c r="G650" s="1100">
        <v>1.036523632011263</v>
      </c>
      <c r="H650" s="1100">
        <v>1.0157606415850606</v>
      </c>
      <c r="I650" s="1100">
        <v>1.0050803335074525</v>
      </c>
      <c r="K650">
        <v>1.298741010922088</v>
      </c>
      <c r="L650">
        <v>0</v>
      </c>
      <c r="M650">
        <v>6.0742088509129909E-4</v>
      </c>
      <c r="N650">
        <v>5.6166919479824461E-2</v>
      </c>
      <c r="O650">
        <v>7.7527086416713312E-3</v>
      </c>
      <c r="P650">
        <v>1.6013288615664277E-2</v>
      </c>
      <c r="Q650">
        <v>4.4968915073875511E-4</v>
      </c>
      <c r="R650">
        <v>6.0565630181977359E-4</v>
      </c>
      <c r="S650">
        <v>6.1276863612429712E-2</v>
      </c>
      <c r="T650">
        <v>1.0116531813652405</v>
      </c>
      <c r="U650">
        <v>0</v>
      </c>
      <c r="V650">
        <v>9.9469523620938791E-2</v>
      </c>
      <c r="W650">
        <v>3.6857764954091161E-2</v>
      </c>
      <c r="X650">
        <v>7.454439265751317E-3</v>
      </c>
      <c r="Y650">
        <v>1.6483967990071871E-3</v>
      </c>
    </row>
    <row r="651" spans="1:25" x14ac:dyDescent="0.25">
      <c r="A651" s="1096"/>
      <c r="B651" s="1455">
        <v>401</v>
      </c>
      <c r="C651" s="1100">
        <v>1.0055611612497015</v>
      </c>
      <c r="D651" s="1100">
        <v>1.0069181588663993</v>
      </c>
      <c r="E651" s="1100">
        <v>0.97621461560540568</v>
      </c>
      <c r="F651" s="1100">
        <v>1.0138612574760619</v>
      </c>
      <c r="G651" s="1100">
        <v>1.0083859552388874</v>
      </c>
      <c r="H651" s="1100">
        <v>1.002798694910749</v>
      </c>
      <c r="I651" s="1100">
        <v>0.99581515835835954</v>
      </c>
      <c r="K651">
        <v>1.3279223938964677</v>
      </c>
      <c r="L651">
        <v>0</v>
      </c>
      <c r="M651">
        <v>6.2789127375679891E-4</v>
      </c>
      <c r="N651">
        <v>5.3730622070949544E-2</v>
      </c>
      <c r="O651">
        <v>7.6919819940857994E-3</v>
      </c>
      <c r="P651">
        <v>1.614656177139473E-2</v>
      </c>
      <c r="Q651">
        <v>4.3475696250316881E-4</v>
      </c>
      <c r="R651">
        <v>6.2604364588223567E-4</v>
      </c>
      <c r="S651">
        <v>5.9823493508079799E-2</v>
      </c>
      <c r="T651">
        <v>1.0474152183581726</v>
      </c>
      <c r="U651">
        <v>0</v>
      </c>
      <c r="V651">
        <v>9.7961499334375979E-2</v>
      </c>
      <c r="W651">
        <v>3.5804688821372048E-2</v>
      </c>
      <c r="X651">
        <v>7.211534274550414E-3</v>
      </c>
      <c r="Y651">
        <v>1.7038844288590452E-3</v>
      </c>
    </row>
    <row r="652" spans="1:25" x14ac:dyDescent="0.25">
      <c r="A652" s="1096"/>
      <c r="B652" s="1455">
        <v>402</v>
      </c>
      <c r="C652" s="1100">
        <v>1.0317064236733711</v>
      </c>
      <c r="D652" s="1100">
        <v>0.98328686764808049</v>
      </c>
      <c r="E652" s="1100">
        <v>1.0068680259791805</v>
      </c>
      <c r="F652" s="1100">
        <v>0.97070409218039644</v>
      </c>
      <c r="G652" s="1100">
        <v>0.97620243721065725</v>
      </c>
      <c r="H652" s="1100">
        <v>1.0157313435302062</v>
      </c>
      <c r="I652" s="1100">
        <v>1.0303592238214891</v>
      </c>
      <c r="K652">
        <v>1.2834197937893728</v>
      </c>
      <c r="L652">
        <v>0</v>
      </c>
      <c r="M652">
        <v>5.8728608068906612E-4</v>
      </c>
      <c r="N652">
        <v>5.5137709654407771E-2</v>
      </c>
      <c r="O652">
        <v>7.575943860992221E-3</v>
      </c>
      <c r="P652">
        <v>1.58934945292332E-2</v>
      </c>
      <c r="Q652">
        <v>4.4166165574040185E-4</v>
      </c>
      <c r="R652">
        <v>5.8557994066194257E-4</v>
      </c>
      <c r="S652">
        <v>6.1530669001018619E-2</v>
      </c>
      <c r="T652">
        <v>1.00193656628933</v>
      </c>
      <c r="U652">
        <v>0</v>
      </c>
      <c r="V652">
        <v>9.5813953475170952E-2</v>
      </c>
      <c r="W652">
        <v>3.6074570404289213E-2</v>
      </c>
      <c r="X652">
        <v>7.4231754971116476E-3</v>
      </c>
      <c r="Y652">
        <v>1.5937555621062477E-3</v>
      </c>
    </row>
    <row r="653" spans="1:25" x14ac:dyDescent="0.25">
      <c r="A653" s="1096"/>
      <c r="B653" s="1455">
        <v>403</v>
      </c>
      <c r="C653" s="1100">
        <v>1.0153047771265775</v>
      </c>
      <c r="D653" s="1100">
        <v>1.0054297567276449</v>
      </c>
      <c r="E653" s="1100">
        <v>0.98607845715640308</v>
      </c>
      <c r="F653" s="1100">
        <v>1.0211604447229838</v>
      </c>
      <c r="G653" s="1100">
        <v>0.99443010870055859</v>
      </c>
      <c r="H653" s="1100">
        <v>0.97375694228301413</v>
      </c>
      <c r="I653" s="1100">
        <v>0.98199898084053894</v>
      </c>
      <c r="K653">
        <v>1.3294433748041719</v>
      </c>
      <c r="L653">
        <v>0</v>
      </c>
      <c r="M653">
        <v>5.9201222358529291E-4</v>
      </c>
      <c r="N653">
        <v>5.2190340856729238E-2</v>
      </c>
      <c r="O653">
        <v>7.6250455695755946E-3</v>
      </c>
      <c r="P653">
        <v>1.6323714226334721E-2</v>
      </c>
      <c r="Q653">
        <v>4.353133834755574E-4</v>
      </c>
      <c r="R653">
        <v>5.9021821744428458E-4</v>
      </c>
      <c r="S653">
        <v>5.762730397941658E-2</v>
      </c>
      <c r="T653">
        <v>1.054650488628696</v>
      </c>
      <c r="U653">
        <v>0</v>
      </c>
      <c r="V653">
        <v>9.7060880525269039E-2</v>
      </c>
      <c r="W653">
        <v>3.4571947406714681E-2</v>
      </c>
      <c r="X653">
        <v>7.3537548116020387E-3</v>
      </c>
      <c r="Y653">
        <v>1.6063794225002527E-3</v>
      </c>
    </row>
    <row r="654" spans="1:25" x14ac:dyDescent="0.25">
      <c r="A654" s="1096"/>
      <c r="B654" s="1455">
        <v>404</v>
      </c>
      <c r="C654" s="1100">
        <v>0.98140268206548198</v>
      </c>
      <c r="D654" s="1100">
        <v>0.99679850607945975</v>
      </c>
      <c r="E654" s="1100">
        <v>0.99279040182161882</v>
      </c>
      <c r="F654" s="1100">
        <v>1.0214225165118138</v>
      </c>
      <c r="G654" s="1100">
        <v>0.98388727180321811</v>
      </c>
      <c r="H654" s="1100">
        <v>0.96835097192860442</v>
      </c>
      <c r="I654" s="1100">
        <v>1.0215729939158678</v>
      </c>
      <c r="K654">
        <v>1.3382772434367451</v>
      </c>
      <c r="L654">
        <v>0</v>
      </c>
      <c r="M654">
        <v>6.0273067383021255E-4</v>
      </c>
      <c r="N654">
        <v>5.4223674837974523E-2</v>
      </c>
      <c r="O654">
        <v>7.9173790570982363E-3</v>
      </c>
      <c r="P654">
        <v>1.6473247420482656E-2</v>
      </c>
      <c r="Q654">
        <v>4.5508055914500348E-4</v>
      </c>
      <c r="R654">
        <v>6.0089399035146893E-4</v>
      </c>
      <c r="S654">
        <v>6.2143712077167325E-2</v>
      </c>
      <c r="T654">
        <v>1.0547149320461759</v>
      </c>
      <c r="U654">
        <v>0</v>
      </c>
      <c r="V654">
        <v>9.7401390874175681E-2</v>
      </c>
      <c r="W654">
        <v>3.5774669874885381E-2</v>
      </c>
      <c r="X654">
        <v>7.5395580160318738E-3</v>
      </c>
      <c r="Y654">
        <v>1.6354353570860155E-3</v>
      </c>
    </row>
    <row r="655" spans="1:25" x14ac:dyDescent="0.25">
      <c r="A655" s="1096"/>
      <c r="B655" s="1455">
        <v>405</v>
      </c>
      <c r="C655" s="1100">
        <v>0.97440761726119141</v>
      </c>
      <c r="D655" s="1100">
        <v>0.98793486135018038</v>
      </c>
      <c r="E655" s="1100">
        <v>1.0182226341400564</v>
      </c>
      <c r="F655" s="1100">
        <v>1.0241615450802124</v>
      </c>
      <c r="G655" s="1100">
        <v>0.96746277125428604</v>
      </c>
      <c r="H655" s="1100">
        <v>1.0121247792812604</v>
      </c>
      <c r="I655" s="1100">
        <v>0.99452910632834435</v>
      </c>
      <c r="K655">
        <v>1.347949611681587</v>
      </c>
      <c r="L655">
        <v>0</v>
      </c>
      <c r="M655">
        <v>6.040216297624213E-4</v>
      </c>
      <c r="N655">
        <v>5.8685611061968262E-2</v>
      </c>
      <c r="O655">
        <v>8.009200679945214E-3</v>
      </c>
      <c r="P655">
        <v>1.6814226158625444E-2</v>
      </c>
      <c r="Q655">
        <v>4.7224207694876458E-4</v>
      </c>
      <c r="R655">
        <v>6.0226061802109727E-4</v>
      </c>
      <c r="S655">
        <v>6.2623255073873341E-2</v>
      </c>
      <c r="T655">
        <v>1.0567722181290531</v>
      </c>
      <c r="U655">
        <v>0</v>
      </c>
      <c r="V655">
        <v>9.6816566640417795E-2</v>
      </c>
      <c r="W655">
        <v>3.8140119745478478E-2</v>
      </c>
      <c r="X655">
        <v>7.9787782599244489E-3</v>
      </c>
      <c r="Y655">
        <v>1.6391548670940538E-3</v>
      </c>
    </row>
    <row r="656" spans="1:25" x14ac:dyDescent="0.25">
      <c r="A656" s="1096"/>
      <c r="B656" s="1455">
        <v>406</v>
      </c>
      <c r="C656" s="1100">
        <v>1.0288099726691244</v>
      </c>
      <c r="D656" s="1100">
        <v>1.0138533515494195</v>
      </c>
      <c r="E656" s="1100">
        <v>0.981033960748109</v>
      </c>
      <c r="F656" s="1100">
        <v>1.0070212812175154</v>
      </c>
      <c r="G656" s="1100">
        <v>0.9955221341662811</v>
      </c>
      <c r="H656" s="1100">
        <v>1.010556851087113</v>
      </c>
      <c r="I656" s="1100">
        <v>0.9836648618863455</v>
      </c>
      <c r="K656">
        <v>1.3158571773950478</v>
      </c>
      <c r="L656">
        <v>0</v>
      </c>
      <c r="M656">
        <v>6.1064024400827254E-4</v>
      </c>
      <c r="N656">
        <v>5.3023217419949878E-2</v>
      </c>
      <c r="O656">
        <v>7.4986866580232289E-3</v>
      </c>
      <c r="P656">
        <v>1.6065525502538168E-2</v>
      </c>
      <c r="Q656">
        <v>4.2591453343986211E-4</v>
      </c>
      <c r="R656">
        <v>6.0885717360820797E-4</v>
      </c>
      <c r="S656">
        <v>5.7775785083357324E-2</v>
      </c>
      <c r="T656">
        <v>1.0402013154028948</v>
      </c>
      <c r="U656">
        <v>0</v>
      </c>
      <c r="V656">
        <v>9.6787827259813275E-2</v>
      </c>
      <c r="W656">
        <v>3.5230509222516138E-2</v>
      </c>
      <c r="X656">
        <v>7.1930708660669718E-3</v>
      </c>
      <c r="Y656">
        <v>1.6571085168482038E-3</v>
      </c>
    </row>
    <row r="657" spans="1:25" x14ac:dyDescent="0.25">
      <c r="A657" s="1096"/>
      <c r="B657" s="1455">
        <v>407</v>
      </c>
      <c r="C657" s="1100">
        <v>1.0061929364964579</v>
      </c>
      <c r="D657" s="1100">
        <v>1.0170552280858818</v>
      </c>
      <c r="E657" s="1100">
        <v>1.0092212766293245</v>
      </c>
      <c r="F657" s="1100">
        <v>1.0042276816527604</v>
      </c>
      <c r="G657" s="1100">
        <v>0.98579655446934877</v>
      </c>
      <c r="H657" s="1100">
        <v>1.0068044652713803</v>
      </c>
      <c r="I657" s="1100">
        <v>0.97915100082189865</v>
      </c>
      <c r="K657">
        <v>1.3172920111984177</v>
      </c>
      <c r="L657">
        <v>0</v>
      </c>
      <c r="M657">
        <v>5.8600666534307537E-4</v>
      </c>
      <c r="N657">
        <v>5.540847801070288E-2</v>
      </c>
      <c r="O657">
        <v>7.6644015939579344E-3</v>
      </c>
      <c r="P657">
        <v>1.6370236181548863E-2</v>
      </c>
      <c r="Q657">
        <v>4.4787202788627422E-4</v>
      </c>
      <c r="R657">
        <v>5.8428914756510119E-4</v>
      </c>
      <c r="S657">
        <v>5.8620137100953477E-2</v>
      </c>
      <c r="T657">
        <v>1.0364690046283469</v>
      </c>
      <c r="U657">
        <v>0</v>
      </c>
      <c r="V657">
        <v>9.6889887504283387E-2</v>
      </c>
      <c r="W657">
        <v>3.6201376654826672E-2</v>
      </c>
      <c r="X657">
        <v>7.6320925648838177E-3</v>
      </c>
      <c r="Y657">
        <v>1.5902424488064757E-3</v>
      </c>
    </row>
    <row r="658" spans="1:25" x14ac:dyDescent="0.25">
      <c r="A658" s="1096"/>
      <c r="B658" s="1455">
        <v>408</v>
      </c>
      <c r="C658" s="1100">
        <v>0.98950311311556238</v>
      </c>
      <c r="D658" s="1100">
        <v>1.0120548213176273</v>
      </c>
      <c r="E658" s="1100">
        <v>1.0289201070403491</v>
      </c>
      <c r="F658" s="1100">
        <v>0.97180184750618748</v>
      </c>
      <c r="G658" s="1100">
        <v>1.0142576581617009</v>
      </c>
      <c r="H658" s="1100">
        <v>1.0156050375677084</v>
      </c>
      <c r="I658" s="1100">
        <v>0.97441724109540018</v>
      </c>
      <c r="K658">
        <v>1.2902329669011816</v>
      </c>
      <c r="L658">
        <v>0</v>
      </c>
      <c r="M658">
        <v>5.7810250927841148E-4</v>
      </c>
      <c r="N658">
        <v>5.8009645599878236E-2</v>
      </c>
      <c r="O658">
        <v>7.8139339059355578E-3</v>
      </c>
      <c r="P658">
        <v>1.6175608649858765E-2</v>
      </c>
      <c r="Q658">
        <v>4.65644877259437E-4</v>
      </c>
      <c r="R658">
        <v>5.7642283981629619E-4</v>
      </c>
      <c r="S658">
        <v>5.9759885760306233E-2</v>
      </c>
      <c r="T658">
        <v>1.0024431600405197</v>
      </c>
      <c r="U658">
        <v>0</v>
      </c>
      <c r="V658">
        <v>9.8704654219446186E-2</v>
      </c>
      <c r="W658">
        <v>3.7466245252739963E-2</v>
      </c>
      <c r="X658">
        <v>7.8270353124571482E-3</v>
      </c>
      <c r="Y658">
        <v>1.5688329522418811E-3</v>
      </c>
    </row>
    <row r="659" spans="1:25" x14ac:dyDescent="0.25">
      <c r="A659" s="1096"/>
      <c r="B659" s="1455">
        <v>409</v>
      </c>
      <c r="C659" s="1100">
        <v>0.97830485619811747</v>
      </c>
      <c r="D659" s="1100">
        <v>1.0342116962952395</v>
      </c>
      <c r="E659" s="1100">
        <v>1.0121785702962873</v>
      </c>
      <c r="F659" s="1100">
        <v>0.97933368312309821</v>
      </c>
      <c r="G659" s="1100">
        <v>1.003821078848409</v>
      </c>
      <c r="H659" s="1100">
        <v>0.96064834407729038</v>
      </c>
      <c r="I659" s="1100">
        <v>1.0274708103956669</v>
      </c>
      <c r="K659">
        <v>1.2934110653218063</v>
      </c>
      <c r="L659">
        <v>0</v>
      </c>
      <c r="M659">
        <v>5.6774648234035716E-4</v>
      </c>
      <c r="N659">
        <v>5.4155676513102075E-2</v>
      </c>
      <c r="O659">
        <v>7.8310503301555149E-3</v>
      </c>
      <c r="P659">
        <v>1.6109135342532749E-2</v>
      </c>
      <c r="Q659">
        <v>4.5896448263863605E-4</v>
      </c>
      <c r="R659">
        <v>5.6600253313283369E-4</v>
      </c>
      <c r="S659">
        <v>6.1244934838891242E-2</v>
      </c>
      <c r="T659">
        <v>1.0106904864987729</v>
      </c>
      <c r="U659">
        <v>0</v>
      </c>
      <c r="V659">
        <v>9.8467485773337804E-2</v>
      </c>
      <c r="W659">
        <v>3.5321238678423024E-2</v>
      </c>
      <c r="X659">
        <v>7.5933645006550652E-3</v>
      </c>
      <c r="Y659">
        <v>1.5404723125026709E-3</v>
      </c>
    </row>
    <row r="660" spans="1:25" x14ac:dyDescent="0.25">
      <c r="A660" s="1096"/>
      <c r="B660" s="1455">
        <v>410</v>
      </c>
      <c r="C660" s="1100">
        <v>1.0069929184214144</v>
      </c>
      <c r="D660" s="1100">
        <v>1.0157243733551835</v>
      </c>
      <c r="E660" s="1100">
        <v>1.0229751073141027</v>
      </c>
      <c r="F660" s="1100">
        <v>1.0078608107943277</v>
      </c>
      <c r="G660" s="1100">
        <v>0.98426728268003427</v>
      </c>
      <c r="H660" s="1100">
        <v>0.99818830579458073</v>
      </c>
      <c r="I660" s="1100">
        <v>1.0322906499607121</v>
      </c>
      <c r="K660">
        <v>1.3239878720301967</v>
      </c>
      <c r="L660">
        <v>0</v>
      </c>
      <c r="M660">
        <v>5.6445759463471634E-4</v>
      </c>
      <c r="N660">
        <v>5.5631275485705824E-2</v>
      </c>
      <c r="O660">
        <v>7.6656650820544989E-3</v>
      </c>
      <c r="P660">
        <v>1.6622509395486727E-2</v>
      </c>
      <c r="Q660">
        <v>4.5412619772320712E-4</v>
      </c>
      <c r="R660">
        <v>5.6278895459105653E-4</v>
      </c>
      <c r="S660">
        <v>6.1541339796738238E-2</v>
      </c>
      <c r="T660">
        <v>1.0398128076213431</v>
      </c>
      <c r="U660">
        <v>0</v>
      </c>
      <c r="V660">
        <v>9.6811669358616001E-2</v>
      </c>
      <c r="W660">
        <v>3.6054748662553426E-2</v>
      </c>
      <c r="X660">
        <v>7.8636730589507486E-3</v>
      </c>
      <c r="Y660">
        <v>1.531726011067835E-3</v>
      </c>
    </row>
    <row r="661" spans="1:25" x14ac:dyDescent="0.25">
      <c r="A661" s="1096"/>
      <c r="B661" s="1455">
        <v>411</v>
      </c>
      <c r="C661" s="1100">
        <v>1.0025246850968772</v>
      </c>
      <c r="D661" s="1100">
        <v>1.0337135593147586</v>
      </c>
      <c r="E661" s="1100">
        <v>0.98039061908997227</v>
      </c>
      <c r="F661" s="1100">
        <v>1.0080552552034554</v>
      </c>
      <c r="G661" s="1100">
        <v>0.98586800408481068</v>
      </c>
      <c r="H661" s="1100">
        <v>1.0262735104126328</v>
      </c>
      <c r="I661" s="1100">
        <v>0.99873988614440357</v>
      </c>
      <c r="K661">
        <v>1.3226376454292443</v>
      </c>
      <c r="L661">
        <v>0</v>
      </c>
      <c r="M661">
        <v>6.3231816387712063E-4</v>
      </c>
      <c r="N661">
        <v>5.4801249946154297E-2</v>
      </c>
      <c r="O661">
        <v>7.6356577495897632E-3</v>
      </c>
      <c r="P661">
        <v>1.6105066394194029E-2</v>
      </c>
      <c r="Q661">
        <v>4.3341090905357809E-4</v>
      </c>
      <c r="R661">
        <v>6.3050006978100203E-4</v>
      </c>
      <c r="S661">
        <v>6.0048811533537673E-2</v>
      </c>
      <c r="T661">
        <v>1.041289034614874</v>
      </c>
      <c r="U661">
        <v>0</v>
      </c>
      <c r="V661">
        <v>9.6951535946615167E-2</v>
      </c>
      <c r="W661">
        <v>3.6426036694027761E-2</v>
      </c>
      <c r="X661">
        <v>7.2326463896419122E-3</v>
      </c>
      <c r="Y661">
        <v>1.7160133456517435E-3</v>
      </c>
    </row>
    <row r="662" spans="1:25" x14ac:dyDescent="0.25">
      <c r="A662" s="1096"/>
      <c r="B662" s="1455">
        <v>412</v>
      </c>
      <c r="C662" s="1100">
        <v>0.97235801196956728</v>
      </c>
      <c r="D662" s="1100">
        <v>0.96139595331410355</v>
      </c>
      <c r="E662" s="1100">
        <v>0.99622261674838986</v>
      </c>
      <c r="F662" s="1100">
        <v>0.99024702456746139</v>
      </c>
      <c r="G662" s="1100">
        <v>0.98985620097076277</v>
      </c>
      <c r="H662" s="1100">
        <v>1.0010714455103702</v>
      </c>
      <c r="I662" s="1100">
        <v>1.0165777728262289</v>
      </c>
      <c r="K662">
        <v>1.314496258141471</v>
      </c>
      <c r="L662">
        <v>0</v>
      </c>
      <c r="M662">
        <v>6.3353316515082393E-4</v>
      </c>
      <c r="N662">
        <v>5.7594844750092238E-2</v>
      </c>
      <c r="O662">
        <v>8.1083339066269841E-3</v>
      </c>
      <c r="P662">
        <v>1.6118570382127086E-2</v>
      </c>
      <c r="Q662">
        <v>4.6767197764324264E-4</v>
      </c>
      <c r="R662">
        <v>6.316657189482499E-4</v>
      </c>
      <c r="S662">
        <v>6.4708565120867284E-2</v>
      </c>
      <c r="T662">
        <v>1.0224215802907279</v>
      </c>
      <c r="U662">
        <v>0</v>
      </c>
      <c r="V662">
        <v>9.7928850916062196E-2</v>
      </c>
      <c r="W662">
        <v>3.7921064510044837E-2</v>
      </c>
      <c r="X662">
        <v>7.5094578750513376E-3</v>
      </c>
      <c r="Y662">
        <v>1.7191858584288478E-3</v>
      </c>
    </row>
    <row r="663" spans="1:25" x14ac:dyDescent="0.25">
      <c r="A663" s="1096"/>
      <c r="B663" s="1455">
        <v>413</v>
      </c>
      <c r="C663" s="1100">
        <v>1.0200194569373306</v>
      </c>
      <c r="D663" s="1100">
        <v>1.0206325438935102</v>
      </c>
      <c r="E663" s="1100">
        <v>0.97260961190519346</v>
      </c>
      <c r="F663" s="1100">
        <v>0.99874789561260036</v>
      </c>
      <c r="G663" s="1100">
        <v>0.98892917794731205</v>
      </c>
      <c r="H663" s="1100">
        <v>0.98672374669433049</v>
      </c>
      <c r="I663" s="1100">
        <v>1.0172243256770708</v>
      </c>
      <c r="K663">
        <v>1.3065907498986458</v>
      </c>
      <c r="L663">
        <v>0</v>
      </c>
      <c r="M663">
        <v>6.1031030183031365E-4</v>
      </c>
      <c r="N663">
        <v>5.1656885580801552E-2</v>
      </c>
      <c r="O663">
        <v>7.5411720535212912E-3</v>
      </c>
      <c r="P663">
        <v>1.5871019820389937E-2</v>
      </c>
      <c r="Q663">
        <v>4.2466930404127666E-4</v>
      </c>
      <c r="R663">
        <v>6.084851502492903E-4</v>
      </c>
      <c r="S663">
        <v>5.9319620462938767E-2</v>
      </c>
      <c r="T663">
        <v>1.0319116006336884</v>
      </c>
      <c r="U663">
        <v>0</v>
      </c>
      <c r="V663">
        <v>9.6667238414401752E-2</v>
      </c>
      <c r="W663">
        <v>3.4498151004503048E-2</v>
      </c>
      <c r="X663">
        <v>7.0461217840374806E-3</v>
      </c>
      <c r="Y663">
        <v>1.6560959919026976E-3</v>
      </c>
    </row>
    <row r="664" spans="1:25" x14ac:dyDescent="0.25">
      <c r="A664" s="1096"/>
      <c r="B664" s="1455">
        <v>414</v>
      </c>
      <c r="C664" s="1100">
        <v>0.98001152195353713</v>
      </c>
      <c r="D664" s="1100">
        <v>1.0179191511141059</v>
      </c>
      <c r="E664" s="1100">
        <v>1.0437693939104598</v>
      </c>
      <c r="F664" s="1100">
        <v>0.9808682434053716</v>
      </c>
      <c r="G664" s="1100">
        <v>0.99726531725259537</v>
      </c>
      <c r="H664" s="1100">
        <v>0.99136786131848398</v>
      </c>
      <c r="I664" s="1100">
        <v>1.0156201202686599</v>
      </c>
      <c r="K664">
        <v>1.300778017249721</v>
      </c>
      <c r="L664">
        <v>0</v>
      </c>
      <c r="M664">
        <v>5.5112017802135883E-4</v>
      </c>
      <c r="N664">
        <v>5.7828584971589651E-2</v>
      </c>
      <c r="O664">
        <v>7.8751138436703137E-3</v>
      </c>
      <c r="P664">
        <v>1.6498811387769746E-2</v>
      </c>
      <c r="Q664">
        <v>4.7620710579561525E-4</v>
      </c>
      <c r="R664">
        <v>5.4947975711783681E-4</v>
      </c>
      <c r="S664">
        <v>6.1949026818082613E-2</v>
      </c>
      <c r="T664">
        <v>1.0113775719876041</v>
      </c>
      <c r="U664">
        <v>0</v>
      </c>
      <c r="V664">
        <v>9.814206072713523E-2</v>
      </c>
      <c r="W664">
        <v>3.7030332380364073E-2</v>
      </c>
      <c r="X664">
        <v>8.1064456856900276E-3</v>
      </c>
      <c r="Y664">
        <v>1.4955027629214993E-3</v>
      </c>
    </row>
    <row r="665" spans="1:25" x14ac:dyDescent="0.25">
      <c r="A665" s="1096"/>
      <c r="B665" s="1455">
        <v>415</v>
      </c>
      <c r="C665" s="1100">
        <v>1.0310895612242941</v>
      </c>
      <c r="D665" s="1100">
        <v>0.98726356573500662</v>
      </c>
      <c r="E665" s="1100">
        <v>0.99067913609701752</v>
      </c>
      <c r="F665" s="1100">
        <v>1.0174388163313541</v>
      </c>
      <c r="G665" s="1100">
        <v>0.95969378622266799</v>
      </c>
      <c r="H665" s="1100">
        <v>1.0091534585526811</v>
      </c>
      <c r="I665" s="1100">
        <v>0.97909379804053109</v>
      </c>
      <c r="K665">
        <v>1.3266683075788106</v>
      </c>
      <c r="L665">
        <v>0</v>
      </c>
      <c r="M665">
        <v>6.0279240781076541E-4</v>
      </c>
      <c r="N665">
        <v>5.389087405194027E-2</v>
      </c>
      <c r="O665">
        <v>7.5643746136741128E-3</v>
      </c>
      <c r="P665">
        <v>1.6306067286963207E-2</v>
      </c>
      <c r="Q665">
        <v>4.3386436668860581E-4</v>
      </c>
      <c r="R665">
        <v>6.0102980532150327E-4</v>
      </c>
      <c r="S665">
        <v>5.8170922753090812E-2</v>
      </c>
      <c r="T665">
        <v>1.0506658540696949</v>
      </c>
      <c r="U665">
        <v>0</v>
      </c>
      <c r="V665">
        <v>9.5012000645158218E-2</v>
      </c>
      <c r="W665">
        <v>3.5600036850044259E-2</v>
      </c>
      <c r="X665">
        <v>7.3902705433828509E-3</v>
      </c>
      <c r="Y665">
        <v>1.6358050006630559E-3</v>
      </c>
    </row>
    <row r="666" spans="1:25" x14ac:dyDescent="0.25">
      <c r="A666" s="1096"/>
      <c r="B666" s="1455">
        <v>416</v>
      </c>
      <c r="C666" s="1100">
        <v>1.0179033050001847</v>
      </c>
      <c r="D666" s="1100">
        <v>1.0149989876340439</v>
      </c>
      <c r="E666" s="1100">
        <v>0.99909070068001526</v>
      </c>
      <c r="F666" s="1100">
        <v>1.0044836656642884</v>
      </c>
      <c r="G666" s="1100">
        <v>1.020911129679434</v>
      </c>
      <c r="H666" s="1100">
        <v>0.97309633814862972</v>
      </c>
      <c r="I666" s="1100">
        <v>1.0075591541184137</v>
      </c>
      <c r="K666">
        <v>1.3142586507263236</v>
      </c>
      <c r="L666">
        <v>0</v>
      </c>
      <c r="M666">
        <v>5.7223137197742193E-4</v>
      </c>
      <c r="N666">
        <v>5.247021702774321E-2</v>
      </c>
      <c r="O666">
        <v>7.579932716673724E-3</v>
      </c>
      <c r="P666">
        <v>1.6274956974311368E-2</v>
      </c>
      <c r="Q666">
        <v>4.3845875242187141E-4</v>
      </c>
      <c r="R666">
        <v>5.7049613160324282E-4</v>
      </c>
      <c r="S666">
        <v>5.8669058762876009E-2</v>
      </c>
      <c r="T666">
        <v>1.0370348376296976</v>
      </c>
      <c r="U666">
        <v>0</v>
      </c>
      <c r="V666">
        <v>9.8294005092636375E-2</v>
      </c>
      <c r="W666">
        <v>3.4488005980283398E-2</v>
      </c>
      <c r="X666">
        <v>7.4582106238295191E-3</v>
      </c>
      <c r="Y666">
        <v>1.5527024062247869E-3</v>
      </c>
    </row>
    <row r="667" spans="1:25" x14ac:dyDescent="0.25">
      <c r="A667" s="1096"/>
      <c r="B667" s="1455">
        <v>417</v>
      </c>
      <c r="C667" s="1100">
        <v>1.015562135799958</v>
      </c>
      <c r="D667" s="1100">
        <v>1.0083223603609259</v>
      </c>
      <c r="E667" s="1100">
        <v>0.98964857957630425</v>
      </c>
      <c r="F667" s="1100">
        <v>0.99438594424475801</v>
      </c>
      <c r="G667" s="1100">
        <v>1.012649588393977</v>
      </c>
      <c r="H667" s="1100">
        <v>1.0176690617859909</v>
      </c>
      <c r="I667" s="1100">
        <v>1.0399994785909199</v>
      </c>
      <c r="K667">
        <v>1.3110069468253303</v>
      </c>
      <c r="L667">
        <v>0</v>
      </c>
      <c r="M667">
        <v>6.1329223755490086E-4</v>
      </c>
      <c r="N667">
        <v>5.4660350340251511E-2</v>
      </c>
      <c r="O667">
        <v>7.6152167003169886E-3</v>
      </c>
      <c r="P667">
        <v>1.6067133573793416E-2</v>
      </c>
      <c r="Q667">
        <v>4.3632578488430403E-4</v>
      </c>
      <c r="R667">
        <v>6.115139388405841E-4</v>
      </c>
      <c r="S667">
        <v>6.229315120196556E-2</v>
      </c>
      <c r="T667">
        <v>1.0268909353287954</v>
      </c>
      <c r="U667">
        <v>0</v>
      </c>
      <c r="V667">
        <v>9.7939973669421032E-2</v>
      </c>
      <c r="W667">
        <v>3.6130645026880834E-2</v>
      </c>
      <c r="X667">
        <v>7.3106541417248348E-3</v>
      </c>
      <c r="Y667">
        <v>1.6643393560083085E-3</v>
      </c>
    </row>
    <row r="668" spans="1:25" x14ac:dyDescent="0.25">
      <c r="A668" s="1096"/>
      <c r="B668" s="1455">
        <v>418</v>
      </c>
      <c r="C668" s="1100">
        <v>0.99592446164641224</v>
      </c>
      <c r="D668" s="1100">
        <v>0.99919875975813011</v>
      </c>
      <c r="E668" s="1100">
        <v>0.96684228032252006</v>
      </c>
      <c r="F668" s="1100">
        <v>0.95697901417546583</v>
      </c>
      <c r="G668" s="1100">
        <v>0.99981821509588675</v>
      </c>
      <c r="H668" s="1100">
        <v>1.0203985304139715</v>
      </c>
      <c r="I668" s="1100">
        <v>1.0195360032861029</v>
      </c>
      <c r="K668">
        <v>1.273132638419646</v>
      </c>
      <c r="L668">
        <v>0</v>
      </c>
      <c r="M668">
        <v>6.5972764360398134E-4</v>
      </c>
      <c r="N668">
        <v>5.487834732676445E-2</v>
      </c>
      <c r="O668">
        <v>7.7880551530308218E-3</v>
      </c>
      <c r="P668">
        <v>1.5288136955006493E-2</v>
      </c>
      <c r="Q668">
        <v>4.3599411792455162E-4</v>
      </c>
      <c r="R668">
        <v>6.5781981798674835E-4</v>
      </c>
      <c r="S668">
        <v>6.2637513440207904E-2</v>
      </c>
      <c r="T668">
        <v>0.9889250519225079</v>
      </c>
      <c r="U668">
        <v>0</v>
      </c>
      <c r="V668">
        <v>9.7775117731586772E-2</v>
      </c>
      <c r="W668">
        <v>3.677844926593777E-2</v>
      </c>
      <c r="X668">
        <v>6.8375116379824413E-3</v>
      </c>
      <c r="Y668">
        <v>1.7903686943152096E-3</v>
      </c>
    </row>
    <row r="669" spans="1:25" x14ac:dyDescent="0.25">
      <c r="A669" s="1096"/>
      <c r="B669" s="1455">
        <v>419</v>
      </c>
      <c r="C669" s="1100">
        <v>0.96925817981883566</v>
      </c>
      <c r="D669" s="1100">
        <v>1.0057976323707063</v>
      </c>
      <c r="E669" s="1100">
        <v>1.0228857696882412</v>
      </c>
      <c r="F669" s="1100">
        <v>1.0114699666189313</v>
      </c>
      <c r="G669" s="1100">
        <v>0.99245642899367281</v>
      </c>
      <c r="H669" s="1100">
        <v>0.98558211642472437</v>
      </c>
      <c r="I669" s="1100">
        <v>1.0007838687327455</v>
      </c>
      <c r="K669">
        <v>1.3327479078113078</v>
      </c>
      <c r="L669">
        <v>0</v>
      </c>
      <c r="M669">
        <v>5.8141397741273519E-4</v>
      </c>
      <c r="N669">
        <v>5.7284835716191716E-2</v>
      </c>
      <c r="O669">
        <v>7.9954269166405446E-3</v>
      </c>
      <c r="P669">
        <v>1.6697116003447567E-2</v>
      </c>
      <c r="Q669">
        <v>4.7361981516585175E-4</v>
      </c>
      <c r="R669">
        <v>5.7967322713964103E-4</v>
      </c>
      <c r="S669">
        <v>6.1916282024000437E-2</v>
      </c>
      <c r="T669">
        <v>1.0435390118621577</v>
      </c>
      <c r="U669">
        <v>0</v>
      </c>
      <c r="V669">
        <v>9.8166286296074781E-2</v>
      </c>
      <c r="W669">
        <v>3.7128360667608037E-2</v>
      </c>
      <c r="X669">
        <v>7.9710298252475657E-3</v>
      </c>
      <c r="Y669">
        <v>1.5776794350461324E-3</v>
      </c>
    </row>
    <row r="670" spans="1:25" x14ac:dyDescent="0.25">
      <c r="A670" s="1096"/>
      <c r="B670" s="1455">
        <v>420</v>
      </c>
      <c r="C670" s="1100">
        <v>1.0055794970487018</v>
      </c>
      <c r="D670" s="1100">
        <v>1.0151133196924147</v>
      </c>
      <c r="E670" s="1100">
        <v>1.0225701033530157</v>
      </c>
      <c r="F670" s="1100">
        <v>1.0185430736672523</v>
      </c>
      <c r="G670" s="1100">
        <v>1.0163382537289387</v>
      </c>
      <c r="H670" s="1100">
        <v>1.0422983252387203</v>
      </c>
      <c r="I670" s="1100">
        <v>0.95581145882008756</v>
      </c>
      <c r="K670">
        <v>1.3378922852806743</v>
      </c>
      <c r="L670">
        <v>0</v>
      </c>
      <c r="M670">
        <v>5.9086947070962595E-4</v>
      </c>
      <c r="N670">
        <v>5.8170556821175626E-2</v>
      </c>
      <c r="O670">
        <v>7.6781891818656026E-3</v>
      </c>
      <c r="P670">
        <v>1.6748359086602601E-2</v>
      </c>
      <c r="Q670">
        <v>4.5468531667618986E-4</v>
      </c>
      <c r="R670">
        <v>5.8919667336792007E-4</v>
      </c>
      <c r="S670">
        <v>5.8353113810167667E-2</v>
      </c>
      <c r="T670">
        <v>1.0508457275716538</v>
      </c>
      <c r="U670">
        <v>0</v>
      </c>
      <c r="V670">
        <v>9.8397549309884397E-2</v>
      </c>
      <c r="W670">
        <v>3.7709377014481099E-2</v>
      </c>
      <c r="X670">
        <v>7.9328008492333679E-3</v>
      </c>
      <c r="Y670">
        <v>1.6035991162763026E-3</v>
      </c>
    </row>
    <row r="671" spans="1:25" x14ac:dyDescent="0.25">
      <c r="A671" s="1096"/>
      <c r="B671" s="1455">
        <v>421</v>
      </c>
      <c r="C671" s="1100">
        <v>1.0029797239457663</v>
      </c>
      <c r="D671" s="1100">
        <v>1.0259492061723814</v>
      </c>
      <c r="E671" s="1100">
        <v>1.0068653855995586</v>
      </c>
      <c r="F671" s="1100">
        <v>1.0177256523096239</v>
      </c>
      <c r="G671" s="1100">
        <v>0.96656318111624051</v>
      </c>
      <c r="H671" s="1100">
        <v>1.022137163858029</v>
      </c>
      <c r="I671" s="1100">
        <v>1.000969381104458</v>
      </c>
      <c r="K671">
        <v>1.3335803478644439</v>
      </c>
      <c r="L671">
        <v>0</v>
      </c>
      <c r="M671">
        <v>5.9767920610994708E-4</v>
      </c>
      <c r="N671">
        <v>5.6114051743626076E-2</v>
      </c>
      <c r="O671">
        <v>7.6616523930025564E-3</v>
      </c>
      <c r="P671">
        <v>1.6544959701032296E-2</v>
      </c>
      <c r="Q671">
        <v>4.4665710263864182E-4</v>
      </c>
      <c r="R671">
        <v>5.9595375449308485E-4</v>
      </c>
      <c r="S671">
        <v>6.0299088751538242E-2</v>
      </c>
      <c r="T671">
        <v>1.050471127938748</v>
      </c>
      <c r="U671">
        <v>0</v>
      </c>
      <c r="V671">
        <v>9.6035689999767221E-2</v>
      </c>
      <c r="W671">
        <v>3.6713412336772271E-2</v>
      </c>
      <c r="X671">
        <v>7.6734436853077813E-3</v>
      </c>
      <c r="Y671">
        <v>1.6219896636278069E-3</v>
      </c>
    </row>
    <row r="672" spans="1:25" x14ac:dyDescent="0.25">
      <c r="A672" s="1096"/>
      <c r="B672" s="1455">
        <v>422</v>
      </c>
      <c r="C672" s="1100">
        <v>0.98978532780824169</v>
      </c>
      <c r="D672" s="1100">
        <v>0.97981003425632029</v>
      </c>
      <c r="E672" s="1100">
        <v>0.97477883964209822</v>
      </c>
      <c r="F672" s="1100">
        <v>0.97433804038054472</v>
      </c>
      <c r="G672" s="1100">
        <v>0.99526795964547499</v>
      </c>
      <c r="H672" s="1100">
        <v>0.99208758445321599</v>
      </c>
      <c r="I672" s="1100">
        <v>0.98224203116208375</v>
      </c>
      <c r="K672">
        <v>1.2884451937129247</v>
      </c>
      <c r="L672">
        <v>0</v>
      </c>
      <c r="M672">
        <v>6.3990799172575718E-4</v>
      </c>
      <c r="N672">
        <v>5.451974836459518E-2</v>
      </c>
      <c r="O672">
        <v>7.8999982851972409E-3</v>
      </c>
      <c r="P672">
        <v>1.5588919520732311E-2</v>
      </c>
      <c r="Q672">
        <v>4.4586144414588021E-4</v>
      </c>
      <c r="R672">
        <v>6.3800467380059254E-4</v>
      </c>
      <c r="S672">
        <v>6.0504037946335347E-2</v>
      </c>
      <c r="T672">
        <v>1.0066266360218332</v>
      </c>
      <c r="U672">
        <v>0</v>
      </c>
      <c r="V672">
        <v>9.7718071270316967E-2</v>
      </c>
      <c r="W672">
        <v>3.6362165438332338E-2</v>
      </c>
      <c r="X672">
        <v>7.0452203354601393E-3</v>
      </c>
      <c r="Y672">
        <v>1.7364384039010191E-3</v>
      </c>
    </row>
    <row r="673" spans="1:25" x14ac:dyDescent="0.25">
      <c r="A673" s="1096"/>
      <c r="B673" s="1455">
        <v>423</v>
      </c>
      <c r="C673" s="1100">
        <v>0.97967746175492376</v>
      </c>
      <c r="D673" s="1100">
        <v>1.0203233188743115</v>
      </c>
      <c r="E673" s="1100">
        <v>1.0283686876783946</v>
      </c>
      <c r="F673" s="1100">
        <v>1.0038078171273916</v>
      </c>
      <c r="G673" s="1100">
        <v>1.0050440406042693</v>
      </c>
      <c r="H673" s="1100">
        <v>1.0036932328910759</v>
      </c>
      <c r="I673" s="1100">
        <v>1.0021479602632675</v>
      </c>
      <c r="K673">
        <v>1.324911903518259</v>
      </c>
      <c r="L673">
        <v>0</v>
      </c>
      <c r="M673">
        <v>5.7583818723861866E-4</v>
      </c>
      <c r="N673">
        <v>5.7684456327583539E-2</v>
      </c>
      <c r="O673">
        <v>7.8665203830104845E-3</v>
      </c>
      <c r="P673">
        <v>1.6649807538857801E-2</v>
      </c>
      <c r="Q673">
        <v>4.6852289821383211E-4</v>
      </c>
      <c r="R673">
        <v>5.741452405415554E-4</v>
      </c>
      <c r="S673">
        <v>6.1437634838148319E-2</v>
      </c>
      <c r="T673">
        <v>1.0354742962508303</v>
      </c>
      <c r="U673">
        <v>0</v>
      </c>
      <c r="V673">
        <v>9.8509527410725328E-2</v>
      </c>
      <c r="W673">
        <v>3.7268157531135146E-2</v>
      </c>
      <c r="X673">
        <v>7.9920392086233749E-3</v>
      </c>
      <c r="Y673">
        <v>1.5626340778264356E-3</v>
      </c>
    </row>
    <row r="674" spans="1:25" x14ac:dyDescent="0.25">
      <c r="A674" s="1096"/>
      <c r="B674" s="1455">
        <v>424</v>
      </c>
      <c r="C674" s="1100">
        <v>1.034397402971198</v>
      </c>
      <c r="D674" s="1100">
        <v>1.0251244684222454</v>
      </c>
      <c r="E674" s="1100">
        <v>1.0011268301176288</v>
      </c>
      <c r="F674" s="1100">
        <v>1.021013136213585</v>
      </c>
      <c r="G674" s="1100">
        <v>1.0080965896682659</v>
      </c>
      <c r="H674" s="1100">
        <v>1.0092363791037915</v>
      </c>
      <c r="I674" s="1100">
        <v>1.0001868835415761</v>
      </c>
      <c r="K674">
        <v>1.3314046217586935</v>
      </c>
      <c r="L674">
        <v>0</v>
      </c>
      <c r="M674">
        <v>5.7925411934536103E-4</v>
      </c>
      <c r="N674">
        <v>5.3447722783410735E-2</v>
      </c>
      <c r="O674">
        <v>7.4299864798352024E-3</v>
      </c>
      <c r="P674">
        <v>1.6509801140471993E-2</v>
      </c>
      <c r="Q674">
        <v>4.3066563924284583E-4</v>
      </c>
      <c r="R674">
        <v>5.7756048343885955E-4</v>
      </c>
      <c r="S674">
        <v>5.8064465793106673E-2</v>
      </c>
      <c r="T674">
        <v>1.0540380877796245</v>
      </c>
      <c r="U674">
        <v>0</v>
      </c>
      <c r="V674">
        <v>9.7288109747191431E-2</v>
      </c>
      <c r="W674">
        <v>3.5088023759535833E-2</v>
      </c>
      <c r="X674">
        <v>7.5375230290227954E-3</v>
      </c>
      <c r="Y674">
        <v>1.5719292431583792E-3</v>
      </c>
    </row>
    <row r="675" spans="1:25" x14ac:dyDescent="0.25">
      <c r="A675" s="1096"/>
      <c r="B675" s="1455">
        <v>425</v>
      </c>
      <c r="C675" s="1100">
        <v>0.99349820536014588</v>
      </c>
      <c r="D675" s="1100">
        <v>1.0126925618962856</v>
      </c>
      <c r="E675" s="1100">
        <v>0.98656023463777465</v>
      </c>
      <c r="F675" s="1100">
        <v>1.0022757984646213</v>
      </c>
      <c r="G675" s="1100">
        <v>1.0401245195638698</v>
      </c>
      <c r="H675" s="1100">
        <v>0.98292259749095046</v>
      </c>
      <c r="I675" s="1100">
        <v>0.97981282931079139</v>
      </c>
      <c r="K675">
        <v>1.3163299774152235</v>
      </c>
      <c r="L675">
        <v>0</v>
      </c>
      <c r="M675">
        <v>6.0833853924248686E-4</v>
      </c>
      <c r="N675">
        <v>5.3709347212072496E-2</v>
      </c>
      <c r="O675">
        <v>7.7701255714762319E-3</v>
      </c>
      <c r="P675">
        <v>1.6119184734896565E-2</v>
      </c>
      <c r="Q675">
        <v>4.4381250190395131E-4</v>
      </c>
      <c r="R675">
        <v>6.0651224887162938E-4</v>
      </c>
      <c r="S675">
        <v>5.8809038039528472E-2</v>
      </c>
      <c r="T675">
        <v>1.0351319302700006</v>
      </c>
      <c r="U675">
        <v>0</v>
      </c>
      <c r="V675">
        <v>9.9807419743436973E-2</v>
      </c>
      <c r="W675">
        <v>3.5567871411217991E-2</v>
      </c>
      <c r="X675">
        <v>7.3223478163419444E-3</v>
      </c>
      <c r="Y675">
        <v>1.6507264047194688E-3</v>
      </c>
    </row>
    <row r="676" spans="1:25" x14ac:dyDescent="0.25">
      <c r="A676" s="1096"/>
      <c r="B676" s="1455">
        <v>426</v>
      </c>
      <c r="C676" s="1100">
        <v>1.003216739178745</v>
      </c>
      <c r="D676" s="1100">
        <v>1.0322638791196819</v>
      </c>
      <c r="E676" s="1100">
        <v>0.99189756932087547</v>
      </c>
      <c r="F676" s="1100">
        <v>1.0086706687388738</v>
      </c>
      <c r="G676" s="1100">
        <v>1.0002858204445366</v>
      </c>
      <c r="H676" s="1100">
        <v>1.0045429510310284</v>
      </c>
      <c r="I676" s="1100">
        <v>0.95543818215974929</v>
      </c>
      <c r="K676">
        <v>1.3193872709575174</v>
      </c>
      <c r="L676">
        <v>0</v>
      </c>
      <c r="M676">
        <v>6.0428456003422458E-4</v>
      </c>
      <c r="N676">
        <v>5.4222911382356347E-2</v>
      </c>
      <c r="O676">
        <v>7.6374488841875433E-3</v>
      </c>
      <c r="P676">
        <v>1.6215359957667527E-2</v>
      </c>
      <c r="Q676">
        <v>4.3859506869374683E-4</v>
      </c>
      <c r="R676">
        <v>6.0250948463297978E-4</v>
      </c>
      <c r="S676">
        <v>5.6835445199943428E-2</v>
      </c>
      <c r="T676">
        <v>1.0415744597699454</v>
      </c>
      <c r="U676">
        <v>0</v>
      </c>
      <c r="V676">
        <v>9.7644641709759339E-2</v>
      </c>
      <c r="W676">
        <v>3.5793270043097375E-2</v>
      </c>
      <c r="X676">
        <v>7.3870818172935638E-3</v>
      </c>
      <c r="Y676">
        <v>1.6398321999727414E-3</v>
      </c>
    </row>
    <row r="677" spans="1:25" x14ac:dyDescent="0.25">
      <c r="A677" s="1096"/>
      <c r="B677" s="1455">
        <v>427</v>
      </c>
      <c r="C677" s="1100">
        <v>1.0265900689108782</v>
      </c>
      <c r="D677" s="1100">
        <v>1.007232450833512</v>
      </c>
      <c r="E677" s="1100">
        <v>0.99706423536589162</v>
      </c>
      <c r="F677" s="1100">
        <v>0.99781498626192633</v>
      </c>
      <c r="G677" s="1100">
        <v>0.98203593079575346</v>
      </c>
      <c r="H677" s="1100">
        <v>1.033764772512114</v>
      </c>
      <c r="I677" s="1100">
        <v>1.0054696363530604</v>
      </c>
      <c r="K677">
        <v>1.3114515006176899</v>
      </c>
      <c r="L677">
        <v>0</v>
      </c>
      <c r="M677">
        <v>6.0716453452657631E-4</v>
      </c>
      <c r="N677">
        <v>5.5343397143169326E-2</v>
      </c>
      <c r="O677">
        <v>7.5384376999436831E-3</v>
      </c>
      <c r="P677">
        <v>1.6148489425795831E-2</v>
      </c>
      <c r="Q677">
        <v>4.3517021259450447E-4</v>
      </c>
      <c r="R677">
        <v>6.0543141511937141E-4</v>
      </c>
      <c r="S677">
        <v>6.0099517739355193E-2</v>
      </c>
      <c r="T677">
        <v>1.0302103558361082</v>
      </c>
      <c r="U677">
        <v>0</v>
      </c>
      <c r="V677">
        <v>9.6205113304486833E-2</v>
      </c>
      <c r="W677">
        <v>3.6420416350075126E-2</v>
      </c>
      <c r="X677">
        <v>7.4045512940264365E-3</v>
      </c>
      <c r="Y677">
        <v>1.6477847315425733E-3</v>
      </c>
    </row>
    <row r="678" spans="1:25" x14ac:dyDescent="0.25">
      <c r="A678" s="1096"/>
      <c r="B678" s="1455">
        <v>428</v>
      </c>
      <c r="C678" s="1100">
        <v>1.0240502017321582</v>
      </c>
      <c r="D678" s="1100">
        <v>1.0106501948008235</v>
      </c>
      <c r="E678" s="1100">
        <v>1.0085149804726994</v>
      </c>
      <c r="F678" s="1100">
        <v>0.98101051489199387</v>
      </c>
      <c r="G678" s="1100">
        <v>1.0323786933322481</v>
      </c>
      <c r="H678" s="1100">
        <v>0.97606952825773829</v>
      </c>
      <c r="I678" s="1100">
        <v>0.98972376628463488</v>
      </c>
      <c r="K678">
        <v>1.2892070491893755</v>
      </c>
      <c r="L678">
        <v>0</v>
      </c>
      <c r="M678">
        <v>5.6044475354063181E-4</v>
      </c>
      <c r="N678">
        <v>5.2873754087833097E-2</v>
      </c>
      <c r="O678">
        <v>7.5496362426936501E-3</v>
      </c>
      <c r="P678">
        <v>1.6042897103982681E-2</v>
      </c>
      <c r="Q678">
        <v>4.4085410816051642E-4</v>
      </c>
      <c r="R678">
        <v>5.5875043184680279E-4</v>
      </c>
      <c r="S678">
        <v>5.7513153711439662E-2</v>
      </c>
      <c r="T678">
        <v>1.0125268779142238</v>
      </c>
      <c r="U678">
        <v>0</v>
      </c>
      <c r="V678">
        <v>9.871316711158927E-2</v>
      </c>
      <c r="W678">
        <v>3.4559706929950786E-2</v>
      </c>
      <c r="X678">
        <v>7.467961817739492E-3</v>
      </c>
      <c r="Y678">
        <v>1.5207344834566418E-3</v>
      </c>
    </row>
    <row r="679" spans="1:25" x14ac:dyDescent="0.25">
      <c r="A679" s="1096"/>
      <c r="B679" s="1455">
        <v>429</v>
      </c>
      <c r="C679" s="1100">
        <v>1.0149102493946396</v>
      </c>
      <c r="D679" s="1100">
        <v>0.98950956720422611</v>
      </c>
      <c r="E679" s="1100">
        <v>1.0019739127894005</v>
      </c>
      <c r="F679" s="1100">
        <v>0.99684575022750954</v>
      </c>
      <c r="G679" s="1100">
        <v>1.022599138667819</v>
      </c>
      <c r="H679" s="1100">
        <v>1.0375217227321769</v>
      </c>
      <c r="I679" s="1100">
        <v>1.0039832511445903</v>
      </c>
      <c r="K679">
        <v>1.3166217164296994</v>
      </c>
      <c r="L679">
        <v>0</v>
      </c>
      <c r="M679">
        <v>6.1448681726243093E-4</v>
      </c>
      <c r="N679">
        <v>5.6848458347379428E-2</v>
      </c>
      <c r="O679">
        <v>7.6807226695181112E-3</v>
      </c>
      <c r="P679">
        <v>1.6240554359827204E-2</v>
      </c>
      <c r="Q679">
        <v>4.455780157109915E-4</v>
      </c>
      <c r="R679">
        <v>6.1273914823240818E-4</v>
      </c>
      <c r="S679">
        <v>6.1398391740298187E-2</v>
      </c>
      <c r="T679">
        <v>1.0290639060655129</v>
      </c>
      <c r="U679">
        <v>0</v>
      </c>
      <c r="V679">
        <v>9.8450687448773611E-2</v>
      </c>
      <c r="W679">
        <v>3.7301819103936089E-2</v>
      </c>
      <c r="X679">
        <v>7.5256723756877792E-3</v>
      </c>
      <c r="Y679">
        <v>1.6676739720826862E-3</v>
      </c>
    </row>
    <row r="680" spans="1:25" x14ac:dyDescent="0.25">
      <c r="A680" s="1096"/>
      <c r="B680" s="1455">
        <v>430</v>
      </c>
      <c r="C680" s="1100">
        <v>0.9588003776767613</v>
      </c>
      <c r="D680" s="1100">
        <v>0.99802166468958631</v>
      </c>
      <c r="E680" s="1100">
        <v>1.0008114169973898</v>
      </c>
      <c r="F680" s="1100">
        <v>0.99063194414561373</v>
      </c>
      <c r="G680" s="1100">
        <v>0.997832299476892</v>
      </c>
      <c r="H680" s="1100">
        <v>0.96670603098869445</v>
      </c>
      <c r="I680" s="1100">
        <v>0.98571101736393596</v>
      </c>
      <c r="K680">
        <v>1.3090063301678978</v>
      </c>
      <c r="L680">
        <v>0</v>
      </c>
      <c r="M680">
        <v>6.0543667503543347E-4</v>
      </c>
      <c r="N680">
        <v>5.5803179562319893E-2</v>
      </c>
      <c r="O680">
        <v>8.1020994231436414E-3</v>
      </c>
      <c r="P680">
        <v>1.6141094037754329E-2</v>
      </c>
      <c r="Q680">
        <v>4.6947465318894759E-4</v>
      </c>
      <c r="R680">
        <v>6.0358860631836873E-4</v>
      </c>
      <c r="S680">
        <v>6.1291420641276975E-2</v>
      </c>
      <c r="T680">
        <v>1.0226834990004932</v>
      </c>
      <c r="U680">
        <v>0</v>
      </c>
      <c r="V680">
        <v>9.8680268407293131E-2</v>
      </c>
      <c r="W680">
        <v>3.6641226256851206E-2</v>
      </c>
      <c r="X680">
        <v>7.5531470408234536E-3</v>
      </c>
      <c r="Y680">
        <v>1.642769213468002E-3</v>
      </c>
    </row>
    <row r="681" spans="1:25" x14ac:dyDescent="0.25">
      <c r="A681" s="1096"/>
      <c r="B681" s="1455">
        <v>431</v>
      </c>
      <c r="C681" s="1100">
        <v>0.99544566921702815</v>
      </c>
      <c r="D681" s="1100">
        <v>0.99615948054171355</v>
      </c>
      <c r="E681" s="1100">
        <v>1.0186522999200418</v>
      </c>
      <c r="F681" s="1100">
        <v>1.0202652946859327</v>
      </c>
      <c r="G681" s="1100">
        <v>1.0442845656750828</v>
      </c>
      <c r="H681" s="1100">
        <v>1.0040534092201885</v>
      </c>
      <c r="I681" s="1100">
        <v>1.016533503401537</v>
      </c>
      <c r="K681">
        <v>1.3431815744917401</v>
      </c>
      <c r="L681">
        <v>0</v>
      </c>
      <c r="M681">
        <v>5.8407681770895707E-4</v>
      </c>
      <c r="N681">
        <v>5.6820087982922318E-2</v>
      </c>
      <c r="O681">
        <v>7.8140821773651191E-3</v>
      </c>
      <c r="P681">
        <v>1.6800876149411427E-2</v>
      </c>
      <c r="Q681">
        <v>4.6093442773461647E-4</v>
      </c>
      <c r="R681">
        <v>5.8236026567616583E-4</v>
      </c>
      <c r="S681">
        <v>6.2126649248637034E-2</v>
      </c>
      <c r="T681">
        <v>1.0527390978630962</v>
      </c>
      <c r="U681">
        <v>0</v>
      </c>
      <c r="V681">
        <v>9.9996223361691311E-2</v>
      </c>
      <c r="W681">
        <v>3.6918412422517088E-2</v>
      </c>
      <c r="X681">
        <v>7.9219347422378045E-3</v>
      </c>
      <c r="Y681">
        <v>1.5849926681605377E-3</v>
      </c>
    </row>
    <row r="682" spans="1:25" x14ac:dyDescent="0.25">
      <c r="A682" s="1096"/>
      <c r="B682" s="1455">
        <v>432</v>
      </c>
      <c r="C682" s="1100">
        <v>1.0164381718050661</v>
      </c>
      <c r="D682" s="1100">
        <v>0.99809876455916724</v>
      </c>
      <c r="E682" s="1100">
        <v>1.037059944401272</v>
      </c>
      <c r="F682" s="1100">
        <v>1.0180550847984573</v>
      </c>
      <c r="G682" s="1100">
        <v>1.027354998789769</v>
      </c>
      <c r="H682" s="1100">
        <v>0.96883085866131269</v>
      </c>
      <c r="I682" s="1100">
        <v>1.0136491539216153</v>
      </c>
      <c r="K682">
        <v>1.3323908735058796</v>
      </c>
      <c r="L682">
        <v>0</v>
      </c>
      <c r="M682">
        <v>5.3077049435921802E-4</v>
      </c>
      <c r="N682">
        <v>5.4575216774463677E-2</v>
      </c>
      <c r="O682">
        <v>7.6512144579003434E-3</v>
      </c>
      <c r="P682">
        <v>1.6933410515421386E-2</v>
      </c>
      <c r="Q682">
        <v>4.5962629560106612E-4</v>
      </c>
      <c r="R682">
        <v>5.2915389416203476E-4</v>
      </c>
      <c r="S682">
        <v>5.9551701688632531E-2</v>
      </c>
      <c r="T682">
        <v>1.0499162277192862</v>
      </c>
      <c r="U682">
        <v>0</v>
      </c>
      <c r="V682">
        <v>9.8683597994350239E-2</v>
      </c>
      <c r="W682">
        <v>3.5082311474615983E-2</v>
      </c>
      <c r="X682">
        <v>8.0990007214305198E-3</v>
      </c>
      <c r="Y682">
        <v>1.4401824643747287E-3</v>
      </c>
    </row>
    <row r="683" spans="1:25" x14ac:dyDescent="0.25">
      <c r="A683" s="1096"/>
      <c r="B683" s="1455">
        <v>433</v>
      </c>
      <c r="C683" s="1100">
        <v>1.0287145652699892</v>
      </c>
      <c r="D683" s="1100">
        <v>0.9756264876323878</v>
      </c>
      <c r="E683" s="1100">
        <v>1.0090978415651537</v>
      </c>
      <c r="F683" s="1100">
        <v>1.012935580421896</v>
      </c>
      <c r="G683" s="1100">
        <v>1.026302157746362</v>
      </c>
      <c r="H683" s="1100">
        <v>0.9588090081245696</v>
      </c>
      <c r="I683" s="1100">
        <v>0.97948876670887497</v>
      </c>
      <c r="K683">
        <v>1.3214591128935862</v>
      </c>
      <c r="L683">
        <v>0</v>
      </c>
      <c r="M683">
        <v>5.5515165664741996E-4</v>
      </c>
      <c r="N683">
        <v>5.2463776231208452E-2</v>
      </c>
      <c r="O683">
        <v>7.6223223660833641E-3</v>
      </c>
      <c r="P683">
        <v>1.649274774937182E-2</v>
      </c>
      <c r="Q683">
        <v>4.4535813142133174E-4</v>
      </c>
      <c r="R683">
        <v>5.5344312372084513E-4</v>
      </c>
      <c r="S683">
        <v>5.7239796843013446E-2</v>
      </c>
      <c r="T683">
        <v>1.0454601631348459</v>
      </c>
      <c r="U683">
        <v>0</v>
      </c>
      <c r="V683">
        <v>9.8310092023518925E-2</v>
      </c>
      <c r="W683">
        <v>3.4279939277194277E-2</v>
      </c>
      <c r="X683">
        <v>7.6403359295641E-3</v>
      </c>
      <c r="Y683">
        <v>1.5062897402914382E-3</v>
      </c>
    </row>
    <row r="684" spans="1:25" x14ac:dyDescent="0.25">
      <c r="A684" s="1096"/>
      <c r="B684" s="1455">
        <v>434</v>
      </c>
      <c r="C684" s="1100">
        <v>1.0384113987275179</v>
      </c>
      <c r="D684" s="1100">
        <v>0.98442575279533096</v>
      </c>
      <c r="E684" s="1100">
        <v>1.0074877307689993</v>
      </c>
      <c r="F684" s="1100">
        <v>1.0128807019508526</v>
      </c>
      <c r="G684" s="1100">
        <v>1.0147878345757417</v>
      </c>
      <c r="H684" s="1100">
        <v>1.0063238901312872</v>
      </c>
      <c r="I684" s="1100">
        <v>1.0235588410065575</v>
      </c>
      <c r="K684">
        <v>1.3268224368374548</v>
      </c>
      <c r="L684">
        <v>0</v>
      </c>
      <c r="M684">
        <v>5.7707910178254407E-4</v>
      </c>
      <c r="N684">
        <v>5.427942231211319E-2</v>
      </c>
      <c r="O684">
        <v>7.5236894934191979E-3</v>
      </c>
      <c r="P684">
        <v>1.6505696864319457E-2</v>
      </c>
      <c r="Q684">
        <v>4.3888755760472796E-4</v>
      </c>
      <c r="R684">
        <v>5.7538694194721033E-4</v>
      </c>
      <c r="S684">
        <v>6.0407876448385196E-2</v>
      </c>
      <c r="T684">
        <v>1.0454516624666019</v>
      </c>
      <c r="U684">
        <v>0</v>
      </c>
      <c r="V684">
        <v>9.7526245444572238E-2</v>
      </c>
      <c r="W684">
        <v>3.5500020777102244E-2</v>
      </c>
      <c r="X684">
        <v>7.6246140534464218E-3</v>
      </c>
      <c r="Y684">
        <v>1.5660135797258704E-3</v>
      </c>
    </row>
    <row r="685" spans="1:25" x14ac:dyDescent="0.25">
      <c r="A685" s="1096"/>
      <c r="B685" s="1455">
        <v>435</v>
      </c>
      <c r="C685" s="1100">
        <v>0.9872484275343032</v>
      </c>
      <c r="D685" s="1100">
        <v>1.0228343438907816</v>
      </c>
      <c r="E685" s="1100">
        <v>0.99804084562843209</v>
      </c>
      <c r="F685" s="1100">
        <v>1.0255464542099086</v>
      </c>
      <c r="G685" s="1100">
        <v>0.98685914715872303</v>
      </c>
      <c r="H685" s="1100">
        <v>0.97152739754167661</v>
      </c>
      <c r="I685" s="1100">
        <v>1.016029790630925</v>
      </c>
      <c r="K685">
        <v>1.3400949273281679</v>
      </c>
      <c r="L685">
        <v>0</v>
      </c>
      <c r="M685">
        <v>5.8851920031109315E-4</v>
      </c>
      <c r="N685">
        <v>5.3792538903126318E-2</v>
      </c>
      <c r="O685">
        <v>7.7910345512501944E-3</v>
      </c>
      <c r="P685">
        <v>1.657426890792944E-2</v>
      </c>
      <c r="Q685">
        <v>4.5019415463732248E-4</v>
      </c>
      <c r="R685">
        <v>5.8673168651616082E-4</v>
      </c>
      <c r="S685">
        <v>6.069775596281022E-2</v>
      </c>
      <c r="T685">
        <v>1.0588122776204094</v>
      </c>
      <c r="U685">
        <v>0</v>
      </c>
      <c r="V685">
        <v>9.7401498018196225E-2</v>
      </c>
      <c r="W685">
        <v>3.5379245248164555E-2</v>
      </c>
      <c r="X685">
        <v>7.6010112407916873E-3</v>
      </c>
      <c r="Y685">
        <v>1.5968902346485115E-3</v>
      </c>
    </row>
    <row r="686" spans="1:25" x14ac:dyDescent="0.25">
      <c r="A686" s="1096"/>
      <c r="B686" s="1455">
        <v>436</v>
      </c>
      <c r="C686" s="1100">
        <v>0.9975198609257363</v>
      </c>
      <c r="D686" s="1100">
        <v>0.97478886058875158</v>
      </c>
      <c r="E686" s="1100">
        <v>0.98910215317644545</v>
      </c>
      <c r="F686" s="1100">
        <v>1.0274348179691759</v>
      </c>
      <c r="G686" s="1100">
        <v>1.0278102952106176</v>
      </c>
      <c r="H686" s="1100">
        <v>0.99043844985094898</v>
      </c>
      <c r="I686" s="1100">
        <v>1.0001401749855379</v>
      </c>
      <c r="K686">
        <v>1.3465699992987257</v>
      </c>
      <c r="L686">
        <v>0</v>
      </c>
      <c r="M686">
        <v>6.1665223429268939E-4</v>
      </c>
      <c r="N686">
        <v>5.4864699389956278E-2</v>
      </c>
      <c r="O686">
        <v>7.8584203635418334E-3</v>
      </c>
      <c r="P686">
        <v>1.6524367167983688E-2</v>
      </c>
      <c r="Q686">
        <v>4.5001181978549453E-4</v>
      </c>
      <c r="R686">
        <v>6.1481503344983611E-4</v>
      </c>
      <c r="S686">
        <v>6.1261031474931421E-2</v>
      </c>
      <c r="T686">
        <v>1.0610370160241429</v>
      </c>
      <c r="U686">
        <v>0</v>
      </c>
      <c r="V686">
        <v>9.9114047817559545E-2</v>
      </c>
      <c r="W686">
        <v>3.6277599452569087E-2</v>
      </c>
      <c r="X686">
        <v>7.5113191417699723E-3</v>
      </c>
      <c r="Y686">
        <v>1.6733238473291472E-3</v>
      </c>
    </row>
    <row r="687" spans="1:25" x14ac:dyDescent="0.25">
      <c r="A687" s="1096"/>
      <c r="B687" s="1455">
        <v>437</v>
      </c>
      <c r="C687" s="1100">
        <v>1.0087503825636119</v>
      </c>
      <c r="D687" s="1100">
        <v>1.028547535810626</v>
      </c>
      <c r="E687" s="1100">
        <v>0.95404059268310304</v>
      </c>
      <c r="F687" s="1100">
        <v>1.0161370399738299</v>
      </c>
      <c r="G687" s="1100">
        <v>0.98092539024500991</v>
      </c>
      <c r="H687" s="1100">
        <v>0.99065788305832181</v>
      </c>
      <c r="I687" s="1100">
        <v>1.0106680988330918</v>
      </c>
      <c r="K687">
        <v>1.3250041013435006</v>
      </c>
      <c r="L687">
        <v>0</v>
      </c>
      <c r="M687">
        <v>6.4178883450044966E-4</v>
      </c>
      <c r="N687">
        <v>5.1350500061241797E-2</v>
      </c>
      <c r="O687">
        <v>7.5974493371308181E-3</v>
      </c>
      <c r="P687">
        <v>1.5889515673234732E-2</v>
      </c>
      <c r="Q687">
        <v>4.1976530883518681E-4</v>
      </c>
      <c r="R687">
        <v>6.3987716735708605E-4</v>
      </c>
      <c r="S687">
        <v>5.9450443928669723E-2</v>
      </c>
      <c r="T687">
        <v>1.0504605120401895</v>
      </c>
      <c r="U687">
        <v>0</v>
      </c>
      <c r="V687">
        <v>9.6531180138380079E-2</v>
      </c>
      <c r="W687">
        <v>3.4685400548526688E-2</v>
      </c>
      <c r="X687">
        <v>6.8797112603403267E-3</v>
      </c>
      <c r="Y687">
        <v>1.7415347140944594E-3</v>
      </c>
    </row>
    <row r="688" spans="1:25" x14ac:dyDescent="0.25">
      <c r="A688" s="1096"/>
      <c r="B688" s="1455">
        <v>438</v>
      </c>
      <c r="C688" s="1100">
        <v>0.98031914514794438</v>
      </c>
      <c r="D688" s="1100">
        <v>0.96767425260992457</v>
      </c>
      <c r="E688" s="1100">
        <v>0.99156783107608637</v>
      </c>
      <c r="F688" s="1100">
        <v>1.030292997239926</v>
      </c>
      <c r="G688" s="1100">
        <v>0.97881521647209146</v>
      </c>
      <c r="H688" s="1100">
        <v>1.0319132778216453</v>
      </c>
      <c r="I688" s="1100">
        <v>1.0026159550260834</v>
      </c>
      <c r="K688">
        <v>1.356708186022221</v>
      </c>
      <c r="L688">
        <v>0</v>
      </c>
      <c r="M688">
        <v>6.5232610177121467E-4</v>
      </c>
      <c r="N688">
        <v>5.8479966510984104E-2</v>
      </c>
      <c r="O688">
        <v>8.0203938669880931E-3</v>
      </c>
      <c r="P688">
        <v>1.6605681499712657E-2</v>
      </c>
      <c r="Q688">
        <v>4.6043307979160318E-4</v>
      </c>
      <c r="R688">
        <v>6.5046073011209237E-4</v>
      </c>
      <c r="S688">
        <v>6.4051620324211606E-2</v>
      </c>
      <c r="T688">
        <v>1.0639123248702231</v>
      </c>
      <c r="U688">
        <v>0</v>
      </c>
      <c r="V688">
        <v>9.7182578991898083E-2</v>
      </c>
      <c r="W688">
        <v>3.8611024916290364E-2</v>
      </c>
      <c r="X688">
        <v>7.6156876507358171E-3</v>
      </c>
      <c r="Y688">
        <v>1.7703396830430619E-3</v>
      </c>
    </row>
    <row r="689" spans="1:25" x14ac:dyDescent="0.25">
      <c r="A689" s="1096"/>
      <c r="B689" s="1455">
        <v>439</v>
      </c>
      <c r="C689" s="1100">
        <v>0.98268681317765727</v>
      </c>
      <c r="D689" s="1100">
        <v>0.98948101029582203</v>
      </c>
      <c r="E689" s="1100">
        <v>1.0007191803477078</v>
      </c>
      <c r="F689" s="1100">
        <v>0.98018922768300965</v>
      </c>
      <c r="G689" s="1100">
        <v>0.99384526015299846</v>
      </c>
      <c r="H689" s="1100">
        <v>1.0248891680054755</v>
      </c>
      <c r="I689" s="1100">
        <v>1.0192676945056036</v>
      </c>
      <c r="K689">
        <v>1.3033111167785825</v>
      </c>
      <c r="L689">
        <v>0</v>
      </c>
      <c r="M689">
        <v>6.285507845282403E-4</v>
      </c>
      <c r="N689">
        <v>5.7927536276775535E-2</v>
      </c>
      <c r="O689">
        <v>7.9323591892845151E-3</v>
      </c>
      <c r="P689">
        <v>1.6018334583853513E-2</v>
      </c>
      <c r="Q689">
        <v>4.5959649159261644E-4</v>
      </c>
      <c r="R689">
        <v>6.2674108160455134E-4</v>
      </c>
      <c r="S689">
        <v>6.3974975740387255E-2</v>
      </c>
      <c r="T689">
        <v>1.0119056010302412</v>
      </c>
      <c r="U689">
        <v>0</v>
      </c>
      <c r="V689">
        <v>9.7858985442637964E-2</v>
      </c>
      <c r="W689">
        <v>3.8038195512764161E-2</v>
      </c>
      <c r="X689">
        <v>7.4915595949837576E-3</v>
      </c>
      <c r="Y689">
        <v>1.7057826189855638E-3</v>
      </c>
    </row>
    <row r="690" spans="1:25" x14ac:dyDescent="0.25">
      <c r="A690" s="1096"/>
      <c r="B690" s="1455">
        <v>440</v>
      </c>
      <c r="C690" s="1100">
        <v>1.0102441383904561</v>
      </c>
      <c r="D690" s="1100">
        <v>1.0170795521913567</v>
      </c>
      <c r="E690" s="1100">
        <v>1.039679582110193</v>
      </c>
      <c r="F690" s="1100">
        <v>1.0284889687767678</v>
      </c>
      <c r="G690" s="1100">
        <v>1.0208722311384468</v>
      </c>
      <c r="H690" s="1100">
        <v>1.0023807898281825</v>
      </c>
      <c r="I690" s="1100">
        <v>1.0029486981418838</v>
      </c>
      <c r="K690">
        <v>1.3465392636062374</v>
      </c>
      <c r="L690">
        <v>0</v>
      </c>
      <c r="M690">
        <v>5.4538096000184032E-4</v>
      </c>
      <c r="N690">
        <v>5.6527611431595626E-2</v>
      </c>
      <c r="O690">
        <v>7.6409715409405448E-3</v>
      </c>
      <c r="P690">
        <v>1.7115253491418857E-2</v>
      </c>
      <c r="Q690">
        <v>4.6019591224261521E-4</v>
      </c>
      <c r="R690">
        <v>5.4377545724589547E-4</v>
      </c>
      <c r="S690">
        <v>5.9699507601706239E-2</v>
      </c>
      <c r="T690">
        <v>1.0605995182607515</v>
      </c>
      <c r="U690">
        <v>0</v>
      </c>
      <c r="V690">
        <v>9.8522460222180808E-2</v>
      </c>
      <c r="W690">
        <v>3.6282506411141807E-2</v>
      </c>
      <c r="X690">
        <v>8.2128666979226703E-3</v>
      </c>
      <c r="Y690">
        <v>1.4799775390920223E-3</v>
      </c>
    </row>
    <row r="691" spans="1:25" x14ac:dyDescent="0.25">
      <c r="A691" s="1096"/>
      <c r="B691" s="1455">
        <v>441</v>
      </c>
      <c r="C691" s="1100">
        <v>0.98354134216602251</v>
      </c>
      <c r="D691" s="1100">
        <v>0.96582240396524865</v>
      </c>
      <c r="E691" s="1100">
        <v>0.99978473626770004</v>
      </c>
      <c r="F691" s="1100">
        <v>1.0039718144427092</v>
      </c>
      <c r="G691" s="1100">
        <v>1.0057639607751363</v>
      </c>
      <c r="H691" s="1100">
        <v>1.0163013053974104</v>
      </c>
      <c r="I691" s="1100">
        <v>1.0279109765453718</v>
      </c>
      <c r="K691">
        <v>1.3300112979187799</v>
      </c>
      <c r="L691">
        <v>0</v>
      </c>
      <c r="M691">
        <v>6.3002005308824562E-4</v>
      </c>
      <c r="N691">
        <v>5.7897845438515047E-2</v>
      </c>
      <c r="O691">
        <v>8.0023238032849303E-3</v>
      </c>
      <c r="P691">
        <v>1.636421887850437E-2</v>
      </c>
      <c r="Q691">
        <v>4.6321496854128151E-4</v>
      </c>
      <c r="R691">
        <v>6.2819079195086767E-4</v>
      </c>
      <c r="S691">
        <v>6.5023056805746549E-2</v>
      </c>
      <c r="T691">
        <v>1.0364856476646094</v>
      </c>
      <c r="U691">
        <v>0</v>
      </c>
      <c r="V691">
        <v>9.8412615160727301E-2</v>
      </c>
      <c r="W691">
        <v>3.8039815562039073E-2</v>
      </c>
      <c r="X691">
        <v>7.6146606452973734E-3</v>
      </c>
      <c r="Y691">
        <v>1.7097282526513503E-3</v>
      </c>
    </row>
    <row r="692" spans="1:25" x14ac:dyDescent="0.25">
      <c r="A692" s="1096"/>
      <c r="B692" s="1455">
        <v>442</v>
      </c>
      <c r="C692" s="1100">
        <v>0.9864806758421294</v>
      </c>
      <c r="D692" s="1100">
        <v>0.96444330552419799</v>
      </c>
      <c r="E692" s="1100">
        <v>1.01190807197354</v>
      </c>
      <c r="F692" s="1100">
        <v>1.0016643582395368</v>
      </c>
      <c r="G692" s="1100">
        <v>1.0054029089554855</v>
      </c>
      <c r="H692" s="1100">
        <v>0.98427576455359578</v>
      </c>
      <c r="I692" s="1100">
        <v>0.99112326059020628</v>
      </c>
      <c r="K692">
        <v>1.321373595384006</v>
      </c>
      <c r="L692">
        <v>0</v>
      </c>
      <c r="M692">
        <v>5.9356688309426288E-4</v>
      </c>
      <c r="N692">
        <v>5.6576582422055134E-2</v>
      </c>
      <c r="O692">
        <v>7.9861050451890455E-3</v>
      </c>
      <c r="P692">
        <v>1.6425802119485342E-2</v>
      </c>
      <c r="Q692">
        <v>4.6792557276695805E-4</v>
      </c>
      <c r="R692">
        <v>5.9178738843496744E-4</v>
      </c>
      <c r="S692">
        <v>6.1572275726176358E-2</v>
      </c>
      <c r="T692">
        <v>1.033744124265048</v>
      </c>
      <c r="U692">
        <v>0</v>
      </c>
      <c r="V692">
        <v>9.8333717217914618E-2</v>
      </c>
      <c r="W692">
        <v>3.6906070852284825E-2</v>
      </c>
      <c r="X692">
        <v>7.7521214690834204E-3</v>
      </c>
      <c r="Y692">
        <v>1.6106501886598132E-3</v>
      </c>
    </row>
    <row r="693" spans="1:25" x14ac:dyDescent="0.25">
      <c r="A693" s="1096"/>
      <c r="B693" s="1455">
        <v>443</v>
      </c>
      <c r="C693" s="1100">
        <v>0.9881686794488721</v>
      </c>
      <c r="D693" s="1100">
        <v>1.0125188255255648</v>
      </c>
      <c r="E693" s="1100">
        <v>1.0231645763300961</v>
      </c>
      <c r="F693" s="1100">
        <v>1.0292326047100473</v>
      </c>
      <c r="G693" s="1100">
        <v>0.99458945720717318</v>
      </c>
      <c r="H693" s="1100">
        <v>0.96050757260947539</v>
      </c>
      <c r="I693" s="1100">
        <v>1.0236079567363123</v>
      </c>
      <c r="K693">
        <v>1.3454823350278111</v>
      </c>
      <c r="L693">
        <v>0</v>
      </c>
      <c r="M693">
        <v>5.5397834421453632E-4</v>
      </c>
      <c r="N693">
        <v>5.4623326897332056E-2</v>
      </c>
      <c r="O693">
        <v>7.8216231757904167E-3</v>
      </c>
      <c r="P693">
        <v>1.6938045842765051E-2</v>
      </c>
      <c r="Q693">
        <v>4.6345254353746926E-4</v>
      </c>
      <c r="R693">
        <v>5.5227643725957738E-4</v>
      </c>
      <c r="S693">
        <v>6.1105459059450216E-2</v>
      </c>
      <c r="T693">
        <v>1.0618564761311513</v>
      </c>
      <c r="U693">
        <v>0</v>
      </c>
      <c r="V693">
        <v>9.7780314889457168E-2</v>
      </c>
      <c r="W693">
        <v>3.5397580464662202E-2</v>
      </c>
      <c r="X693">
        <v>7.9946435262768407E-3</v>
      </c>
      <c r="Y693">
        <v>1.5031144043419562E-3</v>
      </c>
    </row>
    <row r="694" spans="1:25" x14ac:dyDescent="0.25">
      <c r="A694" s="1096"/>
      <c r="B694" s="1455">
        <v>444</v>
      </c>
      <c r="C694" s="1100">
        <v>0.97581771277300056</v>
      </c>
      <c r="D694" s="1100">
        <v>1.0088686031114433</v>
      </c>
      <c r="E694" s="1100">
        <v>0.99042838429752589</v>
      </c>
      <c r="F694" s="1100">
        <v>0.99487780748767052</v>
      </c>
      <c r="G694" s="1100">
        <v>1.0318837152732976</v>
      </c>
      <c r="H694" s="1100">
        <v>1.0241329091850169</v>
      </c>
      <c r="I694" s="1100">
        <v>0.99268835981138936</v>
      </c>
      <c r="K694">
        <v>1.3180553271723658</v>
      </c>
      <c r="L694">
        <v>0</v>
      </c>
      <c r="M694">
        <v>6.4114983681053182E-4</v>
      </c>
      <c r="N694">
        <v>5.7279125510490775E-2</v>
      </c>
      <c r="O694">
        <v>7.9238579782558854E-3</v>
      </c>
      <c r="P694">
        <v>1.6106107901933897E-2</v>
      </c>
      <c r="Q694">
        <v>4.5436785485990455E-4</v>
      </c>
      <c r="R694">
        <v>6.393024959659504E-4</v>
      </c>
      <c r="S694">
        <v>6.2063985417564811E-2</v>
      </c>
      <c r="T694">
        <v>1.0273755541594751</v>
      </c>
      <c r="U694">
        <v>0</v>
      </c>
      <c r="V694">
        <v>9.9865037188138051E-2</v>
      </c>
      <c r="W694">
        <v>3.7843980341365629E-2</v>
      </c>
      <c r="X694">
        <v>7.4051875131158646E-3</v>
      </c>
      <c r="Y694">
        <v>1.739970648008161E-3</v>
      </c>
    </row>
    <row r="695" spans="1:25" x14ac:dyDescent="0.25">
      <c r="A695" s="1096"/>
      <c r="B695" s="1455">
        <v>445</v>
      </c>
      <c r="C695" s="1100">
        <v>1.0069753631718472</v>
      </c>
      <c r="D695" s="1100">
        <v>0.99218698476313827</v>
      </c>
      <c r="E695" s="1100">
        <v>0.97904159238947897</v>
      </c>
      <c r="F695" s="1100">
        <v>1.0009826443146295</v>
      </c>
      <c r="G695" s="1100">
        <v>1.0133224103947387</v>
      </c>
      <c r="H695" s="1100">
        <v>1.0000197585901869</v>
      </c>
      <c r="I695" s="1100">
        <v>1.0170577872104873</v>
      </c>
      <c r="K695">
        <v>1.3165701624515349</v>
      </c>
      <c r="L695">
        <v>0</v>
      </c>
      <c r="M695">
        <v>6.2530432476458797E-4</v>
      </c>
      <c r="N695">
        <v>5.3968539500004048E-2</v>
      </c>
      <c r="O695">
        <v>7.7272840815378347E-3</v>
      </c>
      <c r="P695">
        <v>1.6025733457497509E-2</v>
      </c>
      <c r="Q695">
        <v>4.3801066697732408E-4</v>
      </c>
      <c r="R695">
        <v>6.2345919604059764E-4</v>
      </c>
      <c r="S695">
        <v>6.1414723081710774E-2</v>
      </c>
      <c r="T695">
        <v>1.0340242643027016</v>
      </c>
      <c r="U695">
        <v>0</v>
      </c>
      <c r="V695">
        <v>9.8168802611687658E-2</v>
      </c>
      <c r="W695">
        <v>3.590177876179005E-2</v>
      </c>
      <c r="X695">
        <v>7.2060207079966757E-3</v>
      </c>
      <c r="Y695">
        <v>1.6968504083537674E-3</v>
      </c>
    </row>
    <row r="696" spans="1:25" x14ac:dyDescent="0.25">
      <c r="A696" s="1096"/>
      <c r="B696" s="1455">
        <v>446</v>
      </c>
      <c r="C696" s="1100">
        <v>1.0066481964477088</v>
      </c>
      <c r="D696" s="1100">
        <v>1.0303930264985381</v>
      </c>
      <c r="E696" s="1100">
        <v>1.0203303829818993</v>
      </c>
      <c r="F696" s="1100">
        <v>0.98215280233491586</v>
      </c>
      <c r="G696" s="1100">
        <v>1.0046427668131004</v>
      </c>
      <c r="H696" s="1100">
        <v>0.9665354404544797</v>
      </c>
      <c r="I696" s="1100">
        <v>0.97848352243887216</v>
      </c>
      <c r="K696">
        <v>1.2896531117854437</v>
      </c>
      <c r="L696">
        <v>0</v>
      </c>
      <c r="M696">
        <v>5.4661926004745398E-4</v>
      </c>
      <c r="N696">
        <v>5.3439923759873199E-2</v>
      </c>
      <c r="O696">
        <v>7.6237966370603016E-3</v>
      </c>
      <c r="P696">
        <v>1.6174676437596465E-2</v>
      </c>
      <c r="Q696">
        <v>4.5046099683874319E-4</v>
      </c>
      <c r="R696">
        <v>5.4495043440189596E-4</v>
      </c>
      <c r="S696">
        <v>5.6975870283733118E-2</v>
      </c>
      <c r="T696">
        <v>1.0133654287787295</v>
      </c>
      <c r="U696">
        <v>0</v>
      </c>
      <c r="V696">
        <v>9.7802980525936431E-2</v>
      </c>
      <c r="W696">
        <v>3.4688090870116671E-2</v>
      </c>
      <c r="X696">
        <v>7.6503768816247033E-3</v>
      </c>
      <c r="Y696">
        <v>1.4831754395795405E-3</v>
      </c>
    </row>
    <row r="697" spans="1:25" x14ac:dyDescent="0.25">
      <c r="A697" s="1096"/>
      <c r="B697" s="1455">
        <v>447</v>
      </c>
      <c r="C697" s="1100">
        <v>0.99563651783642737</v>
      </c>
      <c r="D697" s="1100">
        <v>0.99789022496149704</v>
      </c>
      <c r="E697" s="1100">
        <v>1.034990200929224</v>
      </c>
      <c r="F697" s="1100">
        <v>1.0013522212968187</v>
      </c>
      <c r="G697" s="1100">
        <v>1.0307461347322542</v>
      </c>
      <c r="H697" s="1100">
        <v>1.0285372015181338</v>
      </c>
      <c r="I697" s="1100">
        <v>0.99431631070853854</v>
      </c>
      <c r="K697">
        <v>1.3252630413331585</v>
      </c>
      <c r="L697">
        <v>0</v>
      </c>
      <c r="M697">
        <v>5.7778996852768025E-4</v>
      </c>
      <c r="N697">
        <v>5.9050988261117661E-2</v>
      </c>
      <c r="O697">
        <v>7.811209322853431E-3</v>
      </c>
      <c r="P697">
        <v>1.6704060954176425E-2</v>
      </c>
      <c r="Q697">
        <v>4.6828148164917716E-4</v>
      </c>
      <c r="R697">
        <v>5.7613231481245977E-4</v>
      </c>
      <c r="S697">
        <v>6.1464381758984443E-2</v>
      </c>
      <c r="T697">
        <v>1.0327501070154548</v>
      </c>
      <c r="U697">
        <v>0</v>
      </c>
      <c r="V697">
        <v>9.9355040320737484E-2</v>
      </c>
      <c r="W697">
        <v>3.800486712540338E-2</v>
      </c>
      <c r="X697">
        <v>8.0877205075431287E-3</v>
      </c>
      <c r="Y697">
        <v>1.5680422389529804E-3</v>
      </c>
    </row>
    <row r="698" spans="1:25" x14ac:dyDescent="0.25">
      <c r="A698" s="1096"/>
      <c r="B698" s="1455">
        <v>448</v>
      </c>
      <c r="C698" s="1100">
        <v>1.0288535518523112</v>
      </c>
      <c r="D698" s="1100">
        <v>1.0004658352142548</v>
      </c>
      <c r="E698" s="1100">
        <v>0.99039684272085216</v>
      </c>
      <c r="F698" s="1100">
        <v>1.0193745380219099</v>
      </c>
      <c r="G698" s="1100">
        <v>0.98527484850137381</v>
      </c>
      <c r="H698" s="1100">
        <v>0.99108858201746608</v>
      </c>
      <c r="I698" s="1100">
        <v>0.99121868711314043</v>
      </c>
      <c r="K698">
        <v>1.3279448324411067</v>
      </c>
      <c r="L698">
        <v>0</v>
      </c>
      <c r="M698">
        <v>5.9048943613028882E-4</v>
      </c>
      <c r="N698">
        <v>5.2743107864669445E-2</v>
      </c>
      <c r="O698">
        <v>7.5405725662596413E-3</v>
      </c>
      <c r="P698">
        <v>1.6345877854887975E-2</v>
      </c>
      <c r="Q698">
        <v>4.3237581826197113E-4</v>
      </c>
      <c r="R698">
        <v>5.8873133651854751E-4</v>
      </c>
      <c r="S698">
        <v>5.8069111133728958E-2</v>
      </c>
      <c r="T698">
        <v>1.0526734381758449</v>
      </c>
      <c r="U698">
        <v>0</v>
      </c>
      <c r="V698">
        <v>9.6301376018350496E-2</v>
      </c>
      <c r="W698">
        <v>3.4847718478056559E-2</v>
      </c>
      <c r="X698">
        <v>7.3906800078860843E-3</v>
      </c>
      <c r="Y698">
        <v>1.602332622770562E-3</v>
      </c>
    </row>
    <row r="699" spans="1:25" x14ac:dyDescent="0.25">
      <c r="A699" s="1096"/>
      <c r="B699" s="1455">
        <v>449</v>
      </c>
      <c r="C699" s="1100">
        <v>0.99442839669769756</v>
      </c>
      <c r="D699" s="1100">
        <v>1.0020472427950957</v>
      </c>
      <c r="E699" s="1100">
        <v>0.99385939227841213</v>
      </c>
      <c r="F699" s="1100">
        <v>0.9841719932767049</v>
      </c>
      <c r="G699" s="1100">
        <v>1.0028229323213456</v>
      </c>
      <c r="H699" s="1100">
        <v>1.0085104245480663</v>
      </c>
      <c r="I699" s="1100">
        <v>0.97835536837054049</v>
      </c>
      <c r="K699">
        <v>1.2995815074468731</v>
      </c>
      <c r="L699">
        <v>0</v>
      </c>
      <c r="M699">
        <v>6.1683680590375069E-4</v>
      </c>
      <c r="N699">
        <v>5.5679085961394759E-2</v>
      </c>
      <c r="O699">
        <v>7.7975380634046796E-3</v>
      </c>
      <c r="P699">
        <v>1.5939627524706422E-2</v>
      </c>
      <c r="Q699">
        <v>4.4867589564239195E-4</v>
      </c>
      <c r="R699">
        <v>6.1503198668767084E-4</v>
      </c>
      <c r="S699">
        <v>5.9775622714282883E-2</v>
      </c>
      <c r="T699">
        <v>1.0162187346178346</v>
      </c>
      <c r="U699">
        <v>0</v>
      </c>
      <c r="V699">
        <v>9.7987851731484804E-2</v>
      </c>
      <c r="W699">
        <v>3.6711438072973404E-2</v>
      </c>
      <c r="X699">
        <v>7.3508233618403331E-3</v>
      </c>
      <c r="Y699">
        <v>1.6739143225239172E-3</v>
      </c>
    </row>
    <row r="700" spans="1:25" x14ac:dyDescent="0.25">
      <c r="A700" s="1096"/>
      <c r="B700" s="1455">
        <v>450</v>
      </c>
      <c r="C700" s="1100">
        <v>0.97115706129319035</v>
      </c>
      <c r="D700" s="1100">
        <v>1.0030005105098143</v>
      </c>
      <c r="E700" s="1100">
        <v>1.0065381677717313</v>
      </c>
      <c r="F700" s="1100">
        <v>1.0087343418274852</v>
      </c>
      <c r="G700" s="1100">
        <v>0.99806574282492833</v>
      </c>
      <c r="H700" s="1100">
        <v>0.98974968650178952</v>
      </c>
      <c r="I700" s="1100">
        <v>0.98034227095920878</v>
      </c>
      <c r="K700">
        <v>1.3281921783220205</v>
      </c>
      <c r="L700">
        <v>0</v>
      </c>
      <c r="M700">
        <v>6.0354823817307455E-4</v>
      </c>
      <c r="N700">
        <v>5.6603748165502642E-2</v>
      </c>
      <c r="O700">
        <v>7.9845511943375594E-3</v>
      </c>
      <c r="P700">
        <v>1.6451872913796847E-2</v>
      </c>
      <c r="Q700">
        <v>4.6532886516474062E-4</v>
      </c>
      <c r="R700">
        <v>6.0174882692053231E-4</v>
      </c>
      <c r="S700">
        <v>6.0735953166648995E-2</v>
      </c>
      <c r="T700">
        <v>1.0412002795800677</v>
      </c>
      <c r="U700">
        <v>0</v>
      </c>
      <c r="V700">
        <v>9.8369142631244785E-2</v>
      </c>
      <c r="W700">
        <v>3.704096820874913E-2</v>
      </c>
      <c r="X700">
        <v>7.7043710673319107E-3</v>
      </c>
      <c r="Y700">
        <v>1.6377619404302067E-3</v>
      </c>
    </row>
    <row r="701" spans="1:25" x14ac:dyDescent="0.25">
      <c r="A701" s="1096"/>
      <c r="B701" s="1455">
        <v>451</v>
      </c>
      <c r="C701" s="1100">
        <v>1.0271731154522827</v>
      </c>
      <c r="D701" s="1100">
        <v>0.99913698882575264</v>
      </c>
      <c r="E701" s="1100">
        <v>0.98469257916140274</v>
      </c>
      <c r="F701" s="1100">
        <v>0.99491877278224516</v>
      </c>
      <c r="G701" s="1100">
        <v>0.99357389698681597</v>
      </c>
      <c r="H701" s="1100">
        <v>0.99567050112508726</v>
      </c>
      <c r="I701" s="1100">
        <v>1.0032384592631101</v>
      </c>
      <c r="K701">
        <v>1.303972993002728</v>
      </c>
      <c r="L701">
        <v>0</v>
      </c>
      <c r="M701">
        <v>6.0156815147800432E-4</v>
      </c>
      <c r="N701">
        <v>5.2814477353056714E-2</v>
      </c>
      <c r="O701">
        <v>7.5555643538619613E-3</v>
      </c>
      <c r="P701">
        <v>1.5956476131293161E-2</v>
      </c>
      <c r="Q701">
        <v>4.3074135056268695E-4</v>
      </c>
      <c r="R701">
        <v>5.9978530883391182E-4</v>
      </c>
      <c r="S701">
        <v>5.9042707156901061E-2</v>
      </c>
      <c r="T701">
        <v>1.0275898360270799</v>
      </c>
      <c r="U701">
        <v>0</v>
      </c>
      <c r="V701">
        <v>9.6735972651819213E-2</v>
      </c>
      <c r="W701">
        <v>3.501455233876806E-2</v>
      </c>
      <c r="X701">
        <v>7.2020305905559964E-3</v>
      </c>
      <c r="Y701">
        <v>1.6324178914719893E-3</v>
      </c>
    </row>
    <row r="702" spans="1:25" x14ac:dyDescent="0.25">
      <c r="A702" s="1096"/>
      <c r="B702" s="1455">
        <v>452</v>
      </c>
      <c r="C702" s="1100">
        <v>1.0087365352673234</v>
      </c>
      <c r="D702" s="1100">
        <v>1.0020076926742585</v>
      </c>
      <c r="E702" s="1100">
        <v>0.99856992947694534</v>
      </c>
      <c r="F702" s="1100">
        <v>1.0170041963277883</v>
      </c>
      <c r="G702" s="1100">
        <v>0.99099724511466691</v>
      </c>
      <c r="H702" s="1100">
        <v>0.97982641174808982</v>
      </c>
      <c r="I702" s="1100">
        <v>1.0409303034878423</v>
      </c>
      <c r="K702">
        <v>1.331363428505264</v>
      </c>
      <c r="L702">
        <v>0</v>
      </c>
      <c r="M702">
        <v>5.8506028608853327E-4</v>
      </c>
      <c r="N702">
        <v>5.3563324926368068E-2</v>
      </c>
      <c r="O702">
        <v>7.6882021519260055E-3</v>
      </c>
      <c r="P702">
        <v>1.6470915915961507E-2</v>
      </c>
      <c r="Q702">
        <v>4.4448867536885621E-4</v>
      </c>
      <c r="R702">
        <v>5.8329832912815474E-4</v>
      </c>
      <c r="S702">
        <v>6.179973722025682E-2</v>
      </c>
      <c r="T702">
        <v>1.0499768898860258</v>
      </c>
      <c r="U702">
        <v>0</v>
      </c>
      <c r="V702">
        <v>9.7067543163185874E-2</v>
      </c>
      <c r="W702">
        <v>3.521740068970601E-2</v>
      </c>
      <c r="X702">
        <v>7.5491420657815755E-3</v>
      </c>
      <c r="Y702">
        <v>1.5875457676443178E-3</v>
      </c>
    </row>
    <row r="703" spans="1:25" x14ac:dyDescent="0.25">
      <c r="A703" s="1096"/>
      <c r="B703" s="1455">
        <v>453</v>
      </c>
      <c r="C703" s="1100">
        <v>1.0231460423628171</v>
      </c>
      <c r="D703" s="1100">
        <v>1.0130581928693321</v>
      </c>
      <c r="E703" s="1100">
        <v>1.0192015739966922</v>
      </c>
      <c r="F703" s="1100">
        <v>1.0106962147879097</v>
      </c>
      <c r="G703" s="1100">
        <v>1.0045347581697537</v>
      </c>
      <c r="H703" s="1100">
        <v>0.98435727274072815</v>
      </c>
      <c r="I703" s="1100">
        <v>1.0121791092651329</v>
      </c>
      <c r="K703">
        <v>1.3220059210979109</v>
      </c>
      <c r="L703">
        <v>0</v>
      </c>
      <c r="M703">
        <v>5.5274825232324047E-4</v>
      </c>
      <c r="N703">
        <v>5.3858393672146641E-2</v>
      </c>
      <c r="O703">
        <v>7.5516744639077971E-3</v>
      </c>
      <c r="P703">
        <v>1.6592357131391091E-2</v>
      </c>
      <c r="Q703">
        <v>4.4569906520493035E-4</v>
      </c>
      <c r="R703">
        <v>5.5109126783769373E-4</v>
      </c>
      <c r="S703">
        <v>5.905403010067007E-2</v>
      </c>
      <c r="T703">
        <v>1.0428492339175612</v>
      </c>
      <c r="U703">
        <v>0</v>
      </c>
      <c r="V703">
        <v>9.7399387707626295E-2</v>
      </c>
      <c r="W703">
        <v>3.498282127910813E-2</v>
      </c>
      <c r="X703">
        <v>7.7740919809131202E-3</v>
      </c>
      <c r="Y703">
        <v>1.4998887638665841E-3</v>
      </c>
    </row>
    <row r="704" spans="1:25" x14ac:dyDescent="0.25">
      <c r="A704" s="1096"/>
      <c r="B704" s="1455">
        <v>454</v>
      </c>
      <c r="C704" s="1100">
        <v>1.0044991289412457</v>
      </c>
      <c r="D704" s="1100">
        <v>1.0163526234083466</v>
      </c>
      <c r="E704" s="1100">
        <v>1.0037238909826911</v>
      </c>
      <c r="F704" s="1100">
        <v>1.0363668103238715</v>
      </c>
      <c r="G704" s="1100">
        <v>0.97565065384153105</v>
      </c>
      <c r="H704" s="1100">
        <v>0.99815541404043773</v>
      </c>
      <c r="I704" s="1100">
        <v>1.0149444760471398</v>
      </c>
      <c r="K704">
        <v>1.3517213580366632</v>
      </c>
      <c r="L704">
        <v>0</v>
      </c>
      <c r="M704">
        <v>5.8879574902622942E-4</v>
      </c>
      <c r="N704">
        <v>5.4754219446095209E-2</v>
      </c>
      <c r="O704">
        <v>7.6781118822120348E-3</v>
      </c>
      <c r="P704">
        <v>1.6780697042331177E-2</v>
      </c>
      <c r="Q704">
        <v>4.4620953468316161E-4</v>
      </c>
      <c r="R704">
        <v>5.8705510358327798E-4</v>
      </c>
      <c r="S704">
        <v>6.0617477262461514E-2</v>
      </c>
      <c r="T704">
        <v>1.0698084621880202</v>
      </c>
      <c r="U704">
        <v>0</v>
      </c>
      <c r="V704">
        <v>9.6434471455737358E-2</v>
      </c>
      <c r="W704">
        <v>3.5890393568677077E-2</v>
      </c>
      <c r="X704">
        <v>7.715285832597135E-3</v>
      </c>
      <c r="Y704">
        <v>1.5977704692907964E-3</v>
      </c>
    </row>
    <row r="705" spans="1:25" x14ac:dyDescent="0.25">
      <c r="A705" s="1096"/>
      <c r="B705" s="1455">
        <v>455</v>
      </c>
      <c r="C705" s="1100">
        <v>0.99203643445062273</v>
      </c>
      <c r="D705" s="1100">
        <v>1.0467449451367383</v>
      </c>
      <c r="E705" s="1100">
        <v>0.99555008182594329</v>
      </c>
      <c r="F705" s="1100">
        <v>0.98219120069502996</v>
      </c>
      <c r="G705" s="1100">
        <v>0.97914244450632726</v>
      </c>
      <c r="H705" s="1100">
        <v>1.0245156203688515</v>
      </c>
      <c r="I705" s="1100">
        <v>1.0263610282837536</v>
      </c>
      <c r="K705">
        <v>1.2985923197874847</v>
      </c>
      <c r="L705">
        <v>0</v>
      </c>
      <c r="M705">
        <v>6.1510814612012496E-4</v>
      </c>
      <c r="N705">
        <v>5.5810050747323064E-2</v>
      </c>
      <c r="O705">
        <v>7.6814911381267847E-3</v>
      </c>
      <c r="P705">
        <v>1.5945619304226086E-2</v>
      </c>
      <c r="Q705">
        <v>4.4275247408617194E-4</v>
      </c>
      <c r="R705">
        <v>6.1333650108029122E-4</v>
      </c>
      <c r="S705">
        <v>6.1907195088737439E-2</v>
      </c>
      <c r="T705">
        <v>1.0141237536518088</v>
      </c>
      <c r="U705">
        <v>0</v>
      </c>
      <c r="V705">
        <v>9.6904271374669768E-2</v>
      </c>
      <c r="W705">
        <v>3.6760675729125003E-2</v>
      </c>
      <c r="X705">
        <v>7.3489821548044015E-3</v>
      </c>
      <c r="Y705">
        <v>1.6692997696173106E-3</v>
      </c>
    </row>
    <row r="706" spans="1:25" x14ac:dyDescent="0.25">
      <c r="A706" s="1096"/>
      <c r="B706" s="1455">
        <v>456</v>
      </c>
      <c r="C706" s="1100">
        <v>1.0176948819843687</v>
      </c>
      <c r="D706" s="1100">
        <v>1.0293365131613259</v>
      </c>
      <c r="E706" s="1100">
        <v>1.0055599657659433</v>
      </c>
      <c r="F706" s="1100">
        <v>0.96027007290430444</v>
      </c>
      <c r="G706" s="1100">
        <v>0.97464526756974046</v>
      </c>
      <c r="H706" s="1100">
        <v>0.98871001884577481</v>
      </c>
      <c r="I706" s="1100">
        <v>0.99871166323476623</v>
      </c>
      <c r="K706">
        <v>1.2662887482756091</v>
      </c>
      <c r="L706">
        <v>0</v>
      </c>
      <c r="M706">
        <v>5.7056744403048557E-4</v>
      </c>
      <c r="N706">
        <v>5.3352638212901662E-2</v>
      </c>
      <c r="O706">
        <v>7.5406095955131563E-3</v>
      </c>
      <c r="P706">
        <v>1.5688893600263827E-2</v>
      </c>
      <c r="Q706">
        <v>4.3902609836964389E-4</v>
      </c>
      <c r="R706">
        <v>5.6886457255398695E-4</v>
      </c>
      <c r="S706">
        <v>5.8197400686795832E-2</v>
      </c>
      <c r="T706">
        <v>0.99120398698855805</v>
      </c>
      <c r="U706">
        <v>0</v>
      </c>
      <c r="V706">
        <v>9.6067935012680447E-2</v>
      </c>
      <c r="W706">
        <v>3.4933679517239032E-2</v>
      </c>
      <c r="X706">
        <v>7.3180195944285839E-3</v>
      </c>
      <c r="Y706">
        <v>1.5482618403360093E-3</v>
      </c>
    </row>
    <row r="707" spans="1:25" x14ac:dyDescent="0.25">
      <c r="A707" s="1096"/>
      <c r="B707" s="1455">
        <v>457</v>
      </c>
      <c r="C707" s="1100">
        <v>1.0223740779026369</v>
      </c>
      <c r="D707" s="1100">
        <v>0.99742131012341773</v>
      </c>
      <c r="E707" s="1100">
        <v>1.0045256878876965</v>
      </c>
      <c r="F707" s="1100">
        <v>1.006074967885995</v>
      </c>
      <c r="G707" s="1100">
        <v>1.0029046092648903</v>
      </c>
      <c r="H707" s="1100">
        <v>0.98822812335356458</v>
      </c>
      <c r="I707" s="1100">
        <v>1.0212509081821679</v>
      </c>
      <c r="K707">
        <v>1.318490026903808</v>
      </c>
      <c r="L707">
        <v>0</v>
      </c>
      <c r="M707">
        <v>5.7611208203576787E-4</v>
      </c>
      <c r="N707">
        <v>5.3703017714035677E-2</v>
      </c>
      <c r="O707">
        <v>7.6010133830507649E-3</v>
      </c>
      <c r="P707">
        <v>1.6369344008571877E-2</v>
      </c>
      <c r="Q707">
        <v>4.4208433772208601E-4</v>
      </c>
      <c r="R707">
        <v>5.7439182401071681E-4</v>
      </c>
      <c r="S707">
        <v>6.0232686988943455E-2</v>
      </c>
      <c r="T707">
        <v>1.038515246226124</v>
      </c>
      <c r="U707">
        <v>0</v>
      </c>
      <c r="V707">
        <v>9.7322471663386589E-2</v>
      </c>
      <c r="W707">
        <v>3.5184633467700323E-2</v>
      </c>
      <c r="X707">
        <v>7.5579441755557874E-3</v>
      </c>
      <c r="Y707">
        <v>1.5633051967432743E-3</v>
      </c>
    </row>
    <row r="708" spans="1:25" x14ac:dyDescent="0.25">
      <c r="A708" s="1096"/>
      <c r="B708" s="1455">
        <v>458</v>
      </c>
      <c r="C708" s="1100">
        <v>1.0435633263976682</v>
      </c>
      <c r="D708" s="1100">
        <v>0.99328978395456491</v>
      </c>
      <c r="E708" s="1100">
        <v>0.9565572483661251</v>
      </c>
      <c r="F708" s="1100">
        <v>1.0047833985245478</v>
      </c>
      <c r="G708" s="1100">
        <v>0.9612065975482017</v>
      </c>
      <c r="H708" s="1100">
        <v>0.98168789138051893</v>
      </c>
      <c r="I708" s="1100">
        <v>1.0023471297436444</v>
      </c>
      <c r="K708">
        <v>1.3070158057340027</v>
      </c>
      <c r="L708">
        <v>0</v>
      </c>
      <c r="M708">
        <v>6.20176324281851E-4</v>
      </c>
      <c r="N708">
        <v>4.9999863815229993E-2</v>
      </c>
      <c r="O708">
        <v>7.4477730515475323E-3</v>
      </c>
      <c r="P708">
        <v>1.5719677245905318E-2</v>
      </c>
      <c r="Q708">
        <v>4.1256414480349068E-4</v>
      </c>
      <c r="R708">
        <v>6.1831215405780155E-4</v>
      </c>
      <c r="S708">
        <v>5.7809739201449266E-2</v>
      </c>
      <c r="T708">
        <v>1.0386447070998239</v>
      </c>
      <c r="U708">
        <v>0</v>
      </c>
      <c r="V708">
        <v>9.4761241872831775E-2</v>
      </c>
      <c r="W708">
        <v>3.3720795943684698E-2</v>
      </c>
      <c r="X708">
        <v>6.8184656721510875E-3</v>
      </c>
      <c r="Y708">
        <v>1.6828418567985302E-3</v>
      </c>
    </row>
    <row r="709" spans="1:25" x14ac:dyDescent="0.25">
      <c r="A709" s="1096"/>
      <c r="B709" s="1455">
        <v>459</v>
      </c>
      <c r="C709" s="1100">
        <v>0.98361301432737969</v>
      </c>
      <c r="D709" s="1100">
        <v>1.0409257115767578</v>
      </c>
      <c r="E709" s="1100">
        <v>0.97884595075985892</v>
      </c>
      <c r="F709" s="1100">
        <v>0.97753687045442195</v>
      </c>
      <c r="G709" s="1100">
        <v>0.98716501455009353</v>
      </c>
      <c r="H709" s="1100">
        <v>0.96720814015350443</v>
      </c>
      <c r="I709" s="1100">
        <v>1.0042444692381058</v>
      </c>
      <c r="K709">
        <v>1.286662850508461</v>
      </c>
      <c r="L709">
        <v>0</v>
      </c>
      <c r="M709">
        <v>6.0763467769565417E-4</v>
      </c>
      <c r="N709">
        <v>5.2407214964111729E-2</v>
      </c>
      <c r="O709">
        <v>7.7604748119686831E-3</v>
      </c>
      <c r="P709">
        <v>1.5663453931073216E-2</v>
      </c>
      <c r="Q709">
        <v>4.398045235830489E-4</v>
      </c>
      <c r="R709">
        <v>6.0578086254804697E-4</v>
      </c>
      <c r="S709">
        <v>5.9499831095073126E-2</v>
      </c>
      <c r="T709">
        <v>1.0098103774240974</v>
      </c>
      <c r="U709">
        <v>0</v>
      </c>
      <c r="V709">
        <v>9.7487704029549149E-2</v>
      </c>
      <c r="W709">
        <v>3.4867252710371915E-2</v>
      </c>
      <c r="X709">
        <v>7.0798550215321011E-3</v>
      </c>
      <c r="Y709">
        <v>1.6487358122481142E-3</v>
      </c>
    </row>
    <row r="710" spans="1:25" x14ac:dyDescent="0.25">
      <c r="A710" s="1096"/>
      <c r="B710" s="1455">
        <v>460</v>
      </c>
      <c r="C710" s="1100">
        <v>0.99569636733735178</v>
      </c>
      <c r="D710" s="1100">
        <v>1.0112989951480675</v>
      </c>
      <c r="E710" s="1100">
        <v>0.98794214391903057</v>
      </c>
      <c r="F710" s="1100">
        <v>1.0058406424403883</v>
      </c>
      <c r="G710" s="1100">
        <v>0.97287627216535522</v>
      </c>
      <c r="H710" s="1100">
        <v>0.97133532895411656</v>
      </c>
      <c r="I710" s="1100">
        <v>0.96886287198013465</v>
      </c>
      <c r="K710">
        <v>1.3144423407886745</v>
      </c>
      <c r="L710">
        <v>0</v>
      </c>
      <c r="M710">
        <v>5.9845590240990669E-4</v>
      </c>
      <c r="N710">
        <v>5.305618225641167E-2</v>
      </c>
      <c r="O710">
        <v>7.7575818901992064E-3</v>
      </c>
      <c r="P710">
        <v>1.6125825815322053E-2</v>
      </c>
      <c r="Q710">
        <v>4.4371632381049939E-4</v>
      </c>
      <c r="R710">
        <v>5.9663784837009706E-4</v>
      </c>
      <c r="S710">
        <v>5.7724989237749935E-2</v>
      </c>
      <c r="T710">
        <v>1.0387717333667601</v>
      </c>
      <c r="U710">
        <v>0</v>
      </c>
      <c r="V710">
        <v>9.6500913320405335E-2</v>
      </c>
      <c r="W710">
        <v>3.5106188880344197E-2</v>
      </c>
      <c r="X710">
        <v>7.3331762100601649E-3</v>
      </c>
      <c r="Y710">
        <v>1.6238515416495487E-3</v>
      </c>
    </row>
    <row r="711" spans="1:25" x14ac:dyDescent="0.25">
      <c r="A711" s="1096"/>
      <c r="B711" s="1455">
        <v>461</v>
      </c>
      <c r="C711" s="1100">
        <v>1.0295072143735526</v>
      </c>
      <c r="D711" s="1100">
        <v>1.0207464203972874</v>
      </c>
      <c r="E711" s="1100">
        <v>1.0071683796388688</v>
      </c>
      <c r="F711" s="1100">
        <v>0.99982252671659788</v>
      </c>
      <c r="G711" s="1100">
        <v>0.96360006859091574</v>
      </c>
      <c r="H711" s="1100">
        <v>0.99653918556713428</v>
      </c>
      <c r="I711" s="1100">
        <v>0.99485166395281976</v>
      </c>
      <c r="K711">
        <v>1.3066217593559539</v>
      </c>
      <c r="L711">
        <v>0</v>
      </c>
      <c r="M711">
        <v>5.6849422037364848E-4</v>
      </c>
      <c r="N711">
        <v>5.3418856653760768E-2</v>
      </c>
      <c r="O711">
        <v>7.4794999959199209E-3</v>
      </c>
      <c r="P711">
        <v>1.625013324575519E-2</v>
      </c>
      <c r="Q711">
        <v>4.3617033456489824E-4</v>
      </c>
      <c r="R711">
        <v>5.6681086623304867E-4</v>
      </c>
      <c r="S711">
        <v>5.7796141863242119E-2</v>
      </c>
      <c r="T711">
        <v>1.0319830128230114</v>
      </c>
      <c r="U711">
        <v>0</v>
      </c>
      <c r="V711">
        <v>9.5255910947277062E-2</v>
      </c>
      <c r="W711">
        <v>3.4943784209142417E-2</v>
      </c>
      <c r="X711">
        <v>7.5172603086856356E-3</v>
      </c>
      <c r="Y711">
        <v>1.5426723287345213E-3</v>
      </c>
    </row>
    <row r="712" spans="1:25" x14ac:dyDescent="0.25">
      <c r="A712" s="1096"/>
      <c r="B712" s="1455">
        <v>462</v>
      </c>
      <c r="C712" s="1100">
        <v>0.99397647213023965</v>
      </c>
      <c r="D712" s="1100">
        <v>1.0370916604751517</v>
      </c>
      <c r="E712" s="1100">
        <v>0.95898944332923108</v>
      </c>
      <c r="F712" s="1100">
        <v>1.0092512435864771</v>
      </c>
      <c r="G712" s="1100">
        <v>0.99553130570643311</v>
      </c>
      <c r="H712" s="1100">
        <v>0.99408027097788287</v>
      </c>
      <c r="I712" s="1100">
        <v>1.0084859313028922</v>
      </c>
      <c r="K712">
        <v>1.3211603451581702</v>
      </c>
      <c r="L712">
        <v>0</v>
      </c>
      <c r="M712">
        <v>6.4481201383009877E-4</v>
      </c>
      <c r="N712">
        <v>5.237261832672508E-2</v>
      </c>
      <c r="O712">
        <v>7.6860974350575666E-3</v>
      </c>
      <c r="P712">
        <v>1.5876643920688837E-2</v>
      </c>
      <c r="Q712">
        <v>4.2683295399398552E-4</v>
      </c>
      <c r="R712">
        <v>6.4289795410923749E-4</v>
      </c>
      <c r="S712">
        <v>6.0046607282338404E-2</v>
      </c>
      <c r="T712">
        <v>1.0431869480603555</v>
      </c>
      <c r="U712">
        <v>0</v>
      </c>
      <c r="V712">
        <v>9.7607880727052135E-2</v>
      </c>
      <c r="W712">
        <v>3.5268266120832607E-2</v>
      </c>
      <c r="X712">
        <v>6.9406080910141147E-3</v>
      </c>
      <c r="Y712">
        <v>1.7497562998317303E-3</v>
      </c>
    </row>
    <row r="713" spans="1:25" x14ac:dyDescent="0.25">
      <c r="A713" s="1096"/>
      <c r="B713" s="1455">
        <v>463</v>
      </c>
      <c r="C713" s="1100">
        <v>1.0176844935107965</v>
      </c>
      <c r="D713" s="1100">
        <v>0.98975521646136078</v>
      </c>
      <c r="E713" s="1100">
        <v>0.99754284432832152</v>
      </c>
      <c r="F713" s="1100">
        <v>1.0019222635020715</v>
      </c>
      <c r="G713" s="1100">
        <v>0.99300673210347534</v>
      </c>
      <c r="H713" s="1100">
        <v>1.0203628505499795</v>
      </c>
      <c r="I713" s="1100">
        <v>0.9942559551548118</v>
      </c>
      <c r="K713">
        <v>1.3169625799133642</v>
      </c>
      <c r="L713">
        <v>0</v>
      </c>
      <c r="M713">
        <v>6.081812012590221E-4</v>
      </c>
      <c r="N713">
        <v>5.5514212916595154E-2</v>
      </c>
      <c r="O713">
        <v>7.6579510645940546E-3</v>
      </c>
      <c r="P713">
        <v>1.622208280482073E-2</v>
      </c>
      <c r="Q713">
        <v>4.4228238510336251E-4</v>
      </c>
      <c r="R713">
        <v>6.0642237811401613E-4</v>
      </c>
      <c r="S713">
        <v>6.011141791197918E-2</v>
      </c>
      <c r="T713">
        <v>1.0344366694401153</v>
      </c>
      <c r="U713">
        <v>0</v>
      </c>
      <c r="V713">
        <v>9.6947608596698959E-2</v>
      </c>
      <c r="W713">
        <v>3.6522414139814087E-2</v>
      </c>
      <c r="X713">
        <v>7.4592176706453428E-3</v>
      </c>
      <c r="Y713">
        <v>1.6504818061431332E-3</v>
      </c>
    </row>
    <row r="714" spans="1:25" x14ac:dyDescent="0.25">
      <c r="A714" s="1096"/>
      <c r="B714" s="1455">
        <v>464</v>
      </c>
      <c r="C714" s="1100">
        <v>1.0098504590646884</v>
      </c>
      <c r="D714" s="1100">
        <v>1.0063969381298676</v>
      </c>
      <c r="E714" s="1100">
        <v>1.0031753283389153</v>
      </c>
      <c r="F714" s="1100">
        <v>0.99083016656830591</v>
      </c>
      <c r="G714" s="1100">
        <v>1.0110539161587742</v>
      </c>
      <c r="H714" s="1100">
        <v>1.0239801904054153</v>
      </c>
      <c r="I714" s="1100">
        <v>0.97164790213469066</v>
      </c>
      <c r="K714">
        <v>1.305821966063528</v>
      </c>
      <c r="L714">
        <v>0</v>
      </c>
      <c r="M714">
        <v>6.0388610325118981E-4</v>
      </c>
      <c r="N714">
        <v>5.606874709509127E-2</v>
      </c>
      <c r="O714">
        <v>7.6674232616433038E-3</v>
      </c>
      <c r="P714">
        <v>1.6128017939039698E-2</v>
      </c>
      <c r="Q714">
        <v>4.4534320777572556E-4</v>
      </c>
      <c r="R714">
        <v>6.0214587065553671E-4</v>
      </c>
      <c r="S714">
        <v>5.878585347805651E-2</v>
      </c>
      <c r="T714">
        <v>1.0228185570957673</v>
      </c>
      <c r="U714">
        <v>0</v>
      </c>
      <c r="V714">
        <v>9.8015852690441038E-2</v>
      </c>
      <c r="W714">
        <v>3.6763994339354046E-2</v>
      </c>
      <c r="X714">
        <v>7.491074626361941E-3</v>
      </c>
      <c r="Y714">
        <v>1.6388425625914564E-3</v>
      </c>
    </row>
    <row r="715" spans="1:25" x14ac:dyDescent="0.25">
      <c r="A715" s="1096"/>
      <c r="B715" s="1455">
        <v>465</v>
      </c>
      <c r="C715" s="1100">
        <v>0.98082846861537509</v>
      </c>
      <c r="D715" s="1100">
        <v>0.99886062118731989</v>
      </c>
      <c r="E715" s="1100">
        <v>0.98715042823585408</v>
      </c>
      <c r="F715" s="1100">
        <v>0.97477249782532405</v>
      </c>
      <c r="G715" s="1100">
        <v>1.0176968898520624</v>
      </c>
      <c r="H715" s="1100">
        <v>1.0355347727330133</v>
      </c>
      <c r="I715" s="1100">
        <v>1.0084288875045981</v>
      </c>
      <c r="K715">
        <v>1.2982124304730125</v>
      </c>
      <c r="L715">
        <v>0</v>
      </c>
      <c r="M715">
        <v>6.5196341405026541E-4</v>
      </c>
      <c r="N715">
        <v>5.7672575240682214E-2</v>
      </c>
      <c r="O715">
        <v>7.9140583030174062E-3</v>
      </c>
      <c r="P715">
        <v>1.5794409027200015E-2</v>
      </c>
      <c r="Q715">
        <v>4.5230383470090815E-4</v>
      </c>
      <c r="R715">
        <v>6.5010559951338468E-4</v>
      </c>
      <c r="S715">
        <v>6.3415921771823702E-2</v>
      </c>
      <c r="T715">
        <v>1.0067096796630872</v>
      </c>
      <c r="U715">
        <v>0</v>
      </c>
      <c r="V715">
        <v>9.9045355310853123E-2</v>
      </c>
      <c r="W715">
        <v>3.817890013922607E-2</v>
      </c>
      <c r="X715">
        <v>7.2617118623365005E-3</v>
      </c>
      <c r="Y715">
        <v>1.7693731346221499E-3</v>
      </c>
    </row>
    <row r="716" spans="1:25" x14ac:dyDescent="0.25">
      <c r="A716" s="1096"/>
      <c r="B716" s="1455">
        <v>466</v>
      </c>
      <c r="C716" s="1100">
        <v>1.0008716920843006</v>
      </c>
      <c r="D716" s="1100">
        <v>0.99909717537382692</v>
      </c>
      <c r="E716" s="1100">
        <v>0.9968917737012809</v>
      </c>
      <c r="F716" s="1100">
        <v>1.0192781426593085</v>
      </c>
      <c r="G716" s="1100">
        <v>1.0027062951420116</v>
      </c>
      <c r="H716" s="1100">
        <v>1.0221138892065313</v>
      </c>
      <c r="I716" s="1100">
        <v>0.99016530966141647</v>
      </c>
      <c r="K716">
        <v>1.3380886415212252</v>
      </c>
      <c r="L716">
        <v>0</v>
      </c>
      <c r="M716">
        <v>6.1796900273997058E-4</v>
      </c>
      <c r="N716">
        <v>5.6297045242788876E-2</v>
      </c>
      <c r="O716">
        <v>7.7572256705777335E-3</v>
      </c>
      <c r="P716">
        <v>1.6477112707361019E-2</v>
      </c>
      <c r="Q716">
        <v>4.4772239992250858E-4</v>
      </c>
      <c r="R716">
        <v>6.1618493549401286E-4</v>
      </c>
      <c r="S716">
        <v>6.0616755911607478E-2</v>
      </c>
      <c r="T716">
        <v>1.0523755898337019</v>
      </c>
      <c r="U716">
        <v>0</v>
      </c>
      <c r="V716">
        <v>9.7825165974002093E-2</v>
      </c>
      <c r="W716">
        <v>3.7051800423843928E-2</v>
      </c>
      <c r="X716">
        <v>7.5649551555595808E-3</v>
      </c>
      <c r="Y716">
        <v>1.6770522691053088E-3</v>
      </c>
    </row>
    <row r="717" spans="1:25" x14ac:dyDescent="0.25">
      <c r="A717" s="1096"/>
      <c r="B717" s="1455">
        <v>467</v>
      </c>
      <c r="C717" s="1100">
        <v>1.0242709465603443</v>
      </c>
      <c r="D717" s="1100">
        <v>1.0029183243847326</v>
      </c>
      <c r="E717" s="1100">
        <v>0.99435416259192266</v>
      </c>
      <c r="F717" s="1100">
        <v>0.99723795962164108</v>
      </c>
      <c r="G717" s="1100">
        <v>1.0153688787307329</v>
      </c>
      <c r="H717" s="1100">
        <v>1.0118822553874731</v>
      </c>
      <c r="I717" s="1100">
        <v>0.96886517411648365</v>
      </c>
      <c r="K717">
        <v>1.308191086404592</v>
      </c>
      <c r="L717">
        <v>0</v>
      </c>
      <c r="M717">
        <v>6.0004286253980375E-4</v>
      </c>
      <c r="N717">
        <v>5.4244761786516993E-2</v>
      </c>
      <c r="O717">
        <v>7.5678411853851955E-3</v>
      </c>
      <c r="P717">
        <v>1.6096610921152842E-2</v>
      </c>
      <c r="Q717">
        <v>4.3567630398643332E-4</v>
      </c>
      <c r="R717">
        <v>5.9829303151456457E-4</v>
      </c>
      <c r="S717">
        <v>5.7542077641685618E-2</v>
      </c>
      <c r="T717">
        <v>1.0296953837973357</v>
      </c>
      <c r="U717">
        <v>0</v>
      </c>
      <c r="V717">
        <v>9.7869276024885279E-2</v>
      </c>
      <c r="W717">
        <v>3.5755166097571373E-2</v>
      </c>
      <c r="X717">
        <v>7.3576860725581726E-3</v>
      </c>
      <c r="Y717">
        <v>1.628356404537812E-3</v>
      </c>
    </row>
    <row r="718" spans="1:25" x14ac:dyDescent="0.25">
      <c r="A718" s="1096"/>
      <c r="B718" s="1455">
        <v>468</v>
      </c>
      <c r="C718" s="1100">
        <v>0.97954889150166358</v>
      </c>
      <c r="D718" s="1100">
        <v>0.98046584330139896</v>
      </c>
      <c r="E718" s="1100">
        <v>1.0116335753866632</v>
      </c>
      <c r="F718" s="1100">
        <v>0.99951928634811649</v>
      </c>
      <c r="G718" s="1100">
        <v>1.0000926742559428</v>
      </c>
      <c r="H718" s="1100">
        <v>1.014671064726008</v>
      </c>
      <c r="I718" s="1100">
        <v>0.9734664301319661</v>
      </c>
      <c r="K718">
        <v>1.321749324816047</v>
      </c>
      <c r="L718">
        <v>0</v>
      </c>
      <c r="M718">
        <v>6.1252812708781953E-4</v>
      </c>
      <c r="N718">
        <v>5.8340795497244254E-2</v>
      </c>
      <c r="O718">
        <v>7.9897170851399441E-3</v>
      </c>
      <c r="P718">
        <v>1.6387222279196947E-2</v>
      </c>
      <c r="Q718">
        <v>4.68008898489795E-4</v>
      </c>
      <c r="R718">
        <v>6.1074679628136497E-4</v>
      </c>
      <c r="S718">
        <v>6.1295160539083356E-2</v>
      </c>
      <c r="T718">
        <v>1.0315384237355569</v>
      </c>
      <c r="U718">
        <v>0</v>
      </c>
      <c r="V718">
        <v>9.8254308169865578E-2</v>
      </c>
      <c r="W718">
        <v>3.8063055360446373E-2</v>
      </c>
      <c r="X718">
        <v>7.7521631349791184E-3</v>
      </c>
      <c r="Y718">
        <v>1.6622514468505906E-3</v>
      </c>
    </row>
    <row r="719" spans="1:25" x14ac:dyDescent="0.25">
      <c r="A719" s="1096"/>
      <c r="B719" s="1455">
        <v>469</v>
      </c>
      <c r="C719" s="1100">
        <v>1.0290376341999441</v>
      </c>
      <c r="D719" s="1100">
        <v>1.0150721145342283</v>
      </c>
      <c r="E719" s="1100">
        <v>0.99065490536806766</v>
      </c>
      <c r="F719" s="1100">
        <v>0.99229936575197442</v>
      </c>
      <c r="G719" s="1100">
        <v>1.0161100799631795</v>
      </c>
      <c r="H719" s="1100">
        <v>0.99278763671971415</v>
      </c>
      <c r="I719" s="1100">
        <v>0.99915618192665256</v>
      </c>
      <c r="K719">
        <v>1.3006204370471159</v>
      </c>
      <c r="L719">
        <v>0</v>
      </c>
      <c r="M719">
        <v>5.8766298215369385E-4</v>
      </c>
      <c r="N719">
        <v>5.2531884120991044E-2</v>
      </c>
      <c r="O719">
        <v>7.4957020116033666E-3</v>
      </c>
      <c r="P719">
        <v>1.5991124090116146E-2</v>
      </c>
      <c r="Q719">
        <v>4.2991503635982369E-4</v>
      </c>
      <c r="R719">
        <v>5.8591629231886911E-4</v>
      </c>
      <c r="S719">
        <v>5.8120444954792357E-2</v>
      </c>
      <c r="T719">
        <v>1.0247061335235506</v>
      </c>
      <c r="U719">
        <v>0</v>
      </c>
      <c r="V719">
        <v>9.7788970688959059E-2</v>
      </c>
      <c r="W719">
        <v>3.4702798490448682E-2</v>
      </c>
      <c r="X719">
        <v>7.2605398196917033E-3</v>
      </c>
      <c r="Y719">
        <v>1.5946710004381087E-3</v>
      </c>
    </row>
    <row r="720" spans="1:25" x14ac:dyDescent="0.25">
      <c r="A720" s="1096"/>
      <c r="B720" s="1455">
        <v>470</v>
      </c>
      <c r="C720" s="1100">
        <v>0.95977369688785186</v>
      </c>
      <c r="D720" s="1100">
        <v>0.96523986906866299</v>
      </c>
      <c r="E720" s="1100">
        <v>1.0137920525566217</v>
      </c>
      <c r="F720" s="1100">
        <v>1.01800665314533</v>
      </c>
      <c r="G720" s="1100">
        <v>1.0092393919906293</v>
      </c>
      <c r="H720" s="1100">
        <v>0.9567113446310459</v>
      </c>
      <c r="I720" s="1100">
        <v>1.0303183511741969</v>
      </c>
      <c r="K720">
        <v>1.3430462431919996</v>
      </c>
      <c r="L720">
        <v>0</v>
      </c>
      <c r="M720">
        <v>5.9048593024347391E-4</v>
      </c>
      <c r="N720">
        <v>5.659898056168014E-2</v>
      </c>
      <c r="O720">
        <v>8.2061084847584748E-3</v>
      </c>
      <c r="P720">
        <v>1.6737601253692714E-2</v>
      </c>
      <c r="Q720">
        <v>4.8172106519886628E-4</v>
      </c>
      <c r="R720">
        <v>5.8866466815041176E-4</v>
      </c>
      <c r="S720">
        <v>6.4844436849169851E-2</v>
      </c>
      <c r="T720">
        <v>1.0505534514057715</v>
      </c>
      <c r="U720">
        <v>0</v>
      </c>
      <c r="V720">
        <v>9.9220681568094632E-2</v>
      </c>
      <c r="W720">
        <v>3.6879779662031591E-2</v>
      </c>
      <c r="X720">
        <v>7.9231524302435831E-3</v>
      </c>
      <c r="Y720">
        <v>1.6021511734497177E-3</v>
      </c>
    </row>
    <row r="721" spans="1:25" x14ac:dyDescent="0.25">
      <c r="A721" s="1096"/>
      <c r="B721" s="1455">
        <v>471</v>
      </c>
      <c r="C721" s="1100">
        <v>0.99007772274398698</v>
      </c>
      <c r="D721" s="1100">
        <v>0.98342585965557505</v>
      </c>
      <c r="E721" s="1100">
        <v>1.0188838057124765</v>
      </c>
      <c r="F721" s="1100">
        <v>0.97183921539754092</v>
      </c>
      <c r="G721" s="1100">
        <v>1.0226582084912965</v>
      </c>
      <c r="H721" s="1100">
        <v>0.9808369793724554</v>
      </c>
      <c r="I721" s="1100">
        <v>0.98138563047635863</v>
      </c>
      <c r="K721">
        <v>1.2880914451687613</v>
      </c>
      <c r="L721">
        <v>0</v>
      </c>
      <c r="M721">
        <v>5.7634695490593128E-4</v>
      </c>
      <c r="N721">
        <v>5.6103373225871785E-2</v>
      </c>
      <c r="O721">
        <v>7.8970399166311857E-3</v>
      </c>
      <c r="P721">
        <v>1.6070705077447504E-2</v>
      </c>
      <c r="Q721">
        <v>4.6593520613260681E-4</v>
      </c>
      <c r="R721">
        <v>5.7461302718413328E-4</v>
      </c>
      <c r="S721">
        <v>6.0013894101307502E-2</v>
      </c>
      <c r="T721">
        <v>1.0027651041041699</v>
      </c>
      <c r="U721">
        <v>0</v>
      </c>
      <c r="V721">
        <v>9.9085162194217757E-2</v>
      </c>
      <c r="W721">
        <v>3.6447790831708703E-2</v>
      </c>
      <c r="X721">
        <v>7.680267200135745E-3</v>
      </c>
      <c r="Y721">
        <v>1.5639072388617076E-3</v>
      </c>
    </row>
    <row r="722" spans="1:25" x14ac:dyDescent="0.25">
      <c r="A722" s="1096"/>
      <c r="B722" s="1455">
        <v>472</v>
      </c>
      <c r="C722" s="1100">
        <v>0.98903926932161801</v>
      </c>
      <c r="D722" s="1100">
        <v>0.9997662062351933</v>
      </c>
      <c r="E722" s="1100">
        <v>1.0179905540278364</v>
      </c>
      <c r="F722" s="1100">
        <v>0.98393963609741242</v>
      </c>
      <c r="G722" s="1100">
        <v>1.0084451755619068</v>
      </c>
      <c r="H722" s="1100">
        <v>0.98474681115642626</v>
      </c>
      <c r="I722" s="1100">
        <v>0.98925533585465175</v>
      </c>
      <c r="K722">
        <v>1.3000104814988038</v>
      </c>
      <c r="L722">
        <v>0</v>
      </c>
      <c r="M722">
        <v>5.7651650723620053E-4</v>
      </c>
      <c r="N722">
        <v>5.5969505929976793E-2</v>
      </c>
      <c r="O722">
        <v>7.8531710889875508E-3</v>
      </c>
      <c r="P722">
        <v>1.6225722414214064E-2</v>
      </c>
      <c r="Q722">
        <v>4.6293525768090953E-4</v>
      </c>
      <c r="R722">
        <v>5.7478895581943056E-4</v>
      </c>
      <c r="S722">
        <v>6.0142805719743647E-2</v>
      </c>
      <c r="T722">
        <v>1.0152762638583432</v>
      </c>
      <c r="U722">
        <v>0</v>
      </c>
      <c r="V722">
        <v>9.8422772678030582E-2</v>
      </c>
      <c r="W722">
        <v>3.6379853883767341E-2</v>
      </c>
      <c r="X722">
        <v>7.7147921608637223E-3</v>
      </c>
      <c r="Y722">
        <v>1.564386058612128E-3</v>
      </c>
    </row>
    <row r="723" spans="1:25" x14ac:dyDescent="0.25">
      <c r="A723" s="1096"/>
      <c r="B723" s="1455">
        <v>473</v>
      </c>
      <c r="C723" s="1100">
        <v>0.96695074258735259</v>
      </c>
      <c r="D723" s="1100">
        <v>0.98829557190841522</v>
      </c>
      <c r="E723" s="1100">
        <v>1.011004874829869</v>
      </c>
      <c r="F723" s="1100">
        <v>1.0207185958667726</v>
      </c>
      <c r="G723" s="1100">
        <v>0.96658296440853841</v>
      </c>
      <c r="H723" s="1100">
        <v>0.97309325088901688</v>
      </c>
      <c r="I723" s="1100">
        <v>1.0365150229638824</v>
      </c>
      <c r="K723">
        <v>1.3428826727211898</v>
      </c>
      <c r="L723">
        <v>0</v>
      </c>
      <c r="M723">
        <v>5.9396737836011607E-4</v>
      </c>
      <c r="N723">
        <v>5.6458657548253001E-2</v>
      </c>
      <c r="O723">
        <v>8.0679420126988279E-3</v>
      </c>
      <c r="P723">
        <v>1.6706569214659652E-2</v>
      </c>
      <c r="Q723">
        <v>4.7229433188149494E-4</v>
      </c>
      <c r="R723">
        <v>5.9216621977934325E-4</v>
      </c>
      <c r="S723">
        <v>6.4465966310390352E-2</v>
      </c>
      <c r="T723">
        <v>1.0534357282799875</v>
      </c>
      <c r="U723">
        <v>0</v>
      </c>
      <c r="V723">
        <v>9.6962074098993281E-2</v>
      </c>
      <c r="W723">
        <v>3.6848743720738028E-2</v>
      </c>
      <c r="X723">
        <v>7.8548171194682687E-3</v>
      </c>
      <c r="Y723">
        <v>1.6116812426974852E-3</v>
      </c>
    </row>
    <row r="724" spans="1:25" x14ac:dyDescent="0.25">
      <c r="A724" s="1096"/>
      <c r="B724" s="1455">
        <v>474</v>
      </c>
      <c r="C724" s="1100">
        <v>0.96541795250455564</v>
      </c>
      <c r="D724" s="1100">
        <v>0.9963712685558298</v>
      </c>
      <c r="E724" s="1100">
        <v>0.96815121425265882</v>
      </c>
      <c r="F724" s="1100">
        <v>0.99247126133086438</v>
      </c>
      <c r="G724" s="1100">
        <v>1.0092346745344081</v>
      </c>
      <c r="H724" s="1100">
        <v>1.0043005641145704</v>
      </c>
      <c r="I724" s="1100">
        <v>0.96798141721485809</v>
      </c>
      <c r="K724">
        <v>1.3119472124753726</v>
      </c>
      <c r="L724">
        <v>0</v>
      </c>
      <c r="M724">
        <v>6.6878846808809413E-4</v>
      </c>
      <c r="N724">
        <v>5.5850425552267692E-2</v>
      </c>
      <c r="O724">
        <v>8.0435955382364196E-3</v>
      </c>
      <c r="P724">
        <v>1.578538797080126E-2</v>
      </c>
      <c r="Q724">
        <v>4.5090355678444868E-4</v>
      </c>
      <c r="R724">
        <v>6.6682343943387317E-4</v>
      </c>
      <c r="S724">
        <v>6.095040366077787E-2</v>
      </c>
      <c r="T724">
        <v>1.0255621762014746</v>
      </c>
      <c r="U724">
        <v>0</v>
      </c>
      <c r="V724">
        <v>9.9017928588660556E-2</v>
      </c>
      <c r="W724">
        <v>3.740005166084711E-2</v>
      </c>
      <c r="X724">
        <v>7.0734311903264306E-3</v>
      </c>
      <c r="Y724">
        <v>1.8148735838512708E-3</v>
      </c>
    </row>
    <row r="725" spans="1:25" x14ac:dyDescent="0.25">
      <c r="A725" s="1096"/>
      <c r="B725" s="1455">
        <v>475</v>
      </c>
      <c r="C725" s="1100">
        <v>0.99228193548117172</v>
      </c>
      <c r="D725" s="1100">
        <v>0.991459682603407</v>
      </c>
      <c r="E725" s="1100">
        <v>1.0272443126546187</v>
      </c>
      <c r="F725" s="1100">
        <v>0.98411108816682902</v>
      </c>
      <c r="G725" s="1100">
        <v>0.99495016652415968</v>
      </c>
      <c r="H725" s="1100">
        <v>0.99923525745035735</v>
      </c>
      <c r="I725" s="1100">
        <v>0.98499084220064814</v>
      </c>
      <c r="K725">
        <v>1.301693449745297</v>
      </c>
      <c r="L725">
        <v>0</v>
      </c>
      <c r="M725">
        <v>5.7387531881658018E-4</v>
      </c>
      <c r="N725">
        <v>5.7292515794836914E-2</v>
      </c>
      <c r="O725">
        <v>7.8559789546088724E-3</v>
      </c>
      <c r="P725">
        <v>1.6328236659823428E-2</v>
      </c>
      <c r="Q725">
        <v>4.6737458123815342E-4</v>
      </c>
      <c r="R725">
        <v>5.7218061574761418E-4</v>
      </c>
      <c r="S725">
        <v>6.0405965388110307E-2</v>
      </c>
      <c r="T725">
        <v>1.0151882297352577</v>
      </c>
      <c r="U725">
        <v>0</v>
      </c>
      <c r="V725">
        <v>9.7698371511827059E-2</v>
      </c>
      <c r="W725">
        <v>3.7039144941591398E-2</v>
      </c>
      <c r="X725">
        <v>7.8620398642936865E-3</v>
      </c>
      <c r="Y725">
        <v>1.557287016775717E-3</v>
      </c>
    </row>
    <row r="726" spans="1:25" x14ac:dyDescent="0.25">
      <c r="A726" s="1096"/>
      <c r="B726" s="1455">
        <v>476</v>
      </c>
      <c r="C726" s="1100">
        <v>0.9914238085840742</v>
      </c>
      <c r="D726" s="1100">
        <v>0.98724659228976108</v>
      </c>
      <c r="E726" s="1100">
        <v>0.96454567806250247</v>
      </c>
      <c r="F726" s="1100">
        <v>1.0397901357269435</v>
      </c>
      <c r="G726" s="1100">
        <v>0.97522066576912747</v>
      </c>
      <c r="H726" s="1100">
        <v>1.0361195446001141</v>
      </c>
      <c r="I726" s="1100">
        <v>1.0263138483609036</v>
      </c>
      <c r="K726">
        <v>1.3630695920291509</v>
      </c>
      <c r="L726">
        <v>0</v>
      </c>
      <c r="M726">
        <v>6.7939122719029392E-4</v>
      </c>
      <c r="N726">
        <v>5.6124748736658465E-2</v>
      </c>
      <c r="O726">
        <v>7.8605904767573096E-3</v>
      </c>
      <c r="P726">
        <v>1.6405343296228506E-2</v>
      </c>
      <c r="Q726">
        <v>4.390206093959658E-4</v>
      </c>
      <c r="R726">
        <v>6.7745634785205304E-4</v>
      </c>
      <c r="S726">
        <v>6.4246249459003105E-2</v>
      </c>
      <c r="T726">
        <v>1.0745741199859173</v>
      </c>
      <c r="U726">
        <v>0</v>
      </c>
      <c r="V726">
        <v>9.6695809320472892E-2</v>
      </c>
      <c r="W726">
        <v>3.766655763829322E-2</v>
      </c>
      <c r="X726">
        <v>7.2152745303322293E-3</v>
      </c>
      <c r="Y726">
        <v>1.8438128554282378E-3</v>
      </c>
    </row>
    <row r="727" spans="1:25" x14ac:dyDescent="0.25">
      <c r="A727" s="1096"/>
      <c r="B727" s="1455">
        <v>477</v>
      </c>
      <c r="C727" s="1100">
        <v>0.99788297800557824</v>
      </c>
      <c r="D727" s="1100">
        <v>1.0014884372726642</v>
      </c>
      <c r="E727" s="1100">
        <v>1.0215627339365123</v>
      </c>
      <c r="F727" s="1100">
        <v>1.0055076741597622</v>
      </c>
      <c r="G727" s="1100">
        <v>0.97286057428891137</v>
      </c>
      <c r="H727" s="1100">
        <v>0.97188598913880986</v>
      </c>
      <c r="I727" s="1100">
        <v>0.96298753785712266</v>
      </c>
      <c r="K727">
        <v>1.3160988768201738</v>
      </c>
      <c r="L727">
        <v>0</v>
      </c>
      <c r="M727">
        <v>5.5938346607463602E-4</v>
      </c>
      <c r="N727">
        <v>5.4892413687804689E-2</v>
      </c>
      <c r="O727">
        <v>7.7790966225410371E-3</v>
      </c>
      <c r="P727">
        <v>1.6513038057599752E-2</v>
      </c>
      <c r="Q727">
        <v>4.6020024785990135E-4</v>
      </c>
      <c r="R727">
        <v>5.576850733427244E-4</v>
      </c>
      <c r="S727">
        <v>5.7597789288842759E-2</v>
      </c>
      <c r="T727">
        <v>1.0374264018051547</v>
      </c>
      <c r="U727">
        <v>0</v>
      </c>
      <c r="V727">
        <v>9.6482946768685782E-2</v>
      </c>
      <c r="W727">
        <v>3.5605247307157688E-2</v>
      </c>
      <c r="X727">
        <v>7.825606498454445E-3</v>
      </c>
      <c r="Y727">
        <v>1.5178349288038765E-3</v>
      </c>
    </row>
    <row r="728" spans="1:25" x14ac:dyDescent="0.25">
      <c r="A728" s="1096"/>
      <c r="B728" s="1455">
        <v>478</v>
      </c>
      <c r="C728" s="1100">
        <v>1.0041739281186766</v>
      </c>
      <c r="D728" s="1100">
        <v>0.98150310102697191</v>
      </c>
      <c r="E728" s="1100">
        <v>1.0261854744270775</v>
      </c>
      <c r="F728" s="1100">
        <v>0.98944801591340859</v>
      </c>
      <c r="G728" s="1100">
        <v>0.97617971552197558</v>
      </c>
      <c r="H728" s="1100">
        <v>1.006835794978143</v>
      </c>
      <c r="I728" s="1100">
        <v>0.99599441307747505</v>
      </c>
      <c r="K728">
        <v>1.3064244568460268</v>
      </c>
      <c r="L728">
        <v>0</v>
      </c>
      <c r="M728">
        <v>5.7497067328283406E-4</v>
      </c>
      <c r="N728">
        <v>5.7220173738721763E-2</v>
      </c>
      <c r="O728">
        <v>7.7940864514388026E-3</v>
      </c>
      <c r="P728">
        <v>1.6382952402222265E-2</v>
      </c>
      <c r="Q728">
        <v>4.6320637366230549E-4</v>
      </c>
      <c r="R728">
        <v>5.732855531590408E-4</v>
      </c>
      <c r="S728">
        <v>6.0916296453618866E-2</v>
      </c>
      <c r="T728">
        <v>1.0207240450640014</v>
      </c>
      <c r="U728">
        <v>0</v>
      </c>
      <c r="V728">
        <v>9.6493059770348694E-2</v>
      </c>
      <c r="W728">
        <v>3.7015178737708918E-2</v>
      </c>
      <c r="X728">
        <v>7.8568486822598316E-3</v>
      </c>
      <c r="Y728">
        <v>1.5602942921671005E-3</v>
      </c>
    </row>
    <row r="729" spans="1:25" x14ac:dyDescent="0.25">
      <c r="A729" s="1096"/>
      <c r="B729" s="1455">
        <v>479</v>
      </c>
      <c r="C729" s="1100">
        <v>1.0143116329721229</v>
      </c>
      <c r="D729" s="1100">
        <v>1.0002998768422202</v>
      </c>
      <c r="E729" s="1100">
        <v>0.99118968051466405</v>
      </c>
      <c r="F729" s="1100">
        <v>1.0112604881374614</v>
      </c>
      <c r="G729" s="1100">
        <v>1.0219053668924074</v>
      </c>
      <c r="H729" s="1100">
        <v>1.007996830108947</v>
      </c>
      <c r="I729" s="1100">
        <v>0.98615600051992414</v>
      </c>
      <c r="K729">
        <v>1.3256514254389367</v>
      </c>
      <c r="L729">
        <v>0</v>
      </c>
      <c r="M729">
        <v>6.0821424926287243E-4</v>
      </c>
      <c r="N729">
        <v>5.4459407633531916E-2</v>
      </c>
      <c r="O729">
        <v>7.6493789106241682E-3</v>
      </c>
      <c r="P729">
        <v>1.6284579900315899E-2</v>
      </c>
      <c r="Q729">
        <v>4.3896624534631667E-4</v>
      </c>
      <c r="R729">
        <v>6.0643375227796103E-4</v>
      </c>
      <c r="S729">
        <v>5.9108592375254829E-2</v>
      </c>
      <c r="T729">
        <v>1.0442702497698899</v>
      </c>
      <c r="U729">
        <v>0</v>
      </c>
      <c r="V729">
        <v>9.8419504385447956E-2</v>
      </c>
      <c r="W729">
        <v>3.5964614009577886E-2</v>
      </c>
      <c r="X729">
        <v>7.4073999430639597E-3</v>
      </c>
      <c r="Y729">
        <v>1.6505127628678987E-3</v>
      </c>
    </row>
    <row r="730" spans="1:25" x14ac:dyDescent="0.25">
      <c r="A730" s="1096"/>
      <c r="B730" s="1455">
        <v>480</v>
      </c>
      <c r="C730" s="1100">
        <v>1.023453837980538</v>
      </c>
      <c r="D730" s="1100">
        <v>0.99249578144159156</v>
      </c>
      <c r="E730" s="1100">
        <v>0.97146160103095824</v>
      </c>
      <c r="F730" s="1100">
        <v>1.0176137017387969</v>
      </c>
      <c r="G730" s="1100">
        <v>1.0145572847070319</v>
      </c>
      <c r="H730" s="1100">
        <v>1.0341701932860805</v>
      </c>
      <c r="I730" s="1100">
        <v>0.96494006764321172</v>
      </c>
      <c r="K730">
        <v>1.3315430135253787</v>
      </c>
      <c r="L730">
        <v>0</v>
      </c>
      <c r="M730">
        <v>6.462093820455584E-4</v>
      </c>
      <c r="N730">
        <v>5.4513132109744157E-2</v>
      </c>
      <c r="O730">
        <v>7.6001057220261015E-3</v>
      </c>
      <c r="P730">
        <v>1.6119552022754897E-2</v>
      </c>
      <c r="Q730">
        <v>4.274867430163464E-4</v>
      </c>
      <c r="R730">
        <v>6.443655342815419E-4</v>
      </c>
      <c r="S730">
        <v>5.8298585088647277E-2</v>
      </c>
      <c r="T730">
        <v>1.051439601006414</v>
      </c>
      <c r="U730">
        <v>0</v>
      </c>
      <c r="V730">
        <v>9.7824068202343684E-2</v>
      </c>
      <c r="W730">
        <v>3.6431050527660096E-2</v>
      </c>
      <c r="X730">
        <v>7.1375253812626408E-3</v>
      </c>
      <c r="Y730">
        <v>1.7537505692730689E-3</v>
      </c>
    </row>
    <row r="731" spans="1:25" x14ac:dyDescent="0.25">
      <c r="A731" s="1096"/>
      <c r="B731" s="1455">
        <v>481</v>
      </c>
      <c r="C731" s="1100">
        <v>1.0125724752618941</v>
      </c>
      <c r="D731" s="1100">
        <v>0.99464256679630503</v>
      </c>
      <c r="E731" s="1100">
        <v>0.97061099041332188</v>
      </c>
      <c r="F731" s="1100">
        <v>1.0362831182622121</v>
      </c>
      <c r="G731" s="1100">
        <v>1.0243644386320967</v>
      </c>
      <c r="H731" s="1100">
        <v>1.0281289686221591</v>
      </c>
      <c r="I731" s="1100">
        <v>1.0240515137324986</v>
      </c>
      <c r="K731">
        <v>1.3563857729563975</v>
      </c>
      <c r="L731">
        <v>0</v>
      </c>
      <c r="M731">
        <v>6.4991775780963955E-4</v>
      </c>
      <c r="N731">
        <v>5.4684030200790601E-2</v>
      </c>
      <c r="O731">
        <v>7.6749364381015379E-3</v>
      </c>
      <c r="P731">
        <v>1.6429588654124614E-2</v>
      </c>
      <c r="Q731">
        <v>4.3132084982334837E-4</v>
      </c>
      <c r="R731">
        <v>6.4805243231631955E-4</v>
      </c>
      <c r="S731">
        <v>6.2274910992895782E-2</v>
      </c>
      <c r="T731">
        <v>1.0707565976548328</v>
      </c>
      <c r="U731">
        <v>0</v>
      </c>
      <c r="V731">
        <v>9.8557579887429067E-2</v>
      </c>
      <c r="W731">
        <v>3.6564170655815582E-2</v>
      </c>
      <c r="X731">
        <v>7.2507178577397207E-3</v>
      </c>
      <c r="Y731">
        <v>1.7637850903381234E-3</v>
      </c>
    </row>
    <row r="732" spans="1:25" x14ac:dyDescent="0.25">
      <c r="A732" s="1096"/>
      <c r="B732" s="1455">
        <v>482</v>
      </c>
      <c r="C732" s="1100">
        <v>1.0197544523430675</v>
      </c>
      <c r="D732" s="1100">
        <v>0.98377412663824615</v>
      </c>
      <c r="E732" s="1100">
        <v>0.96685698461834346</v>
      </c>
      <c r="F732" s="1100">
        <v>1.0033930976365379</v>
      </c>
      <c r="G732" s="1100">
        <v>0.9984940312538414</v>
      </c>
      <c r="H732" s="1100">
        <v>0.98612827177735918</v>
      </c>
      <c r="I732" s="1100">
        <v>1.0052113658469146</v>
      </c>
      <c r="K732">
        <v>1.3135136521081594</v>
      </c>
      <c r="L732">
        <v>0</v>
      </c>
      <c r="M732">
        <v>6.2653952863541893E-4</v>
      </c>
      <c r="N732">
        <v>5.2114717024667655E-2</v>
      </c>
      <c r="O732">
        <v>7.6535443797422654E-3</v>
      </c>
      <c r="P732">
        <v>1.58796474639777E-2</v>
      </c>
      <c r="Q732">
        <v>4.2847033102708229E-4</v>
      </c>
      <c r="R732">
        <v>6.2466471162878491E-4</v>
      </c>
      <c r="S732">
        <v>5.9780841760681304E-2</v>
      </c>
      <c r="T732">
        <v>1.0368880844840893</v>
      </c>
      <c r="U732">
        <v>0</v>
      </c>
      <c r="V732">
        <v>9.7129892320124672E-2</v>
      </c>
      <c r="W732">
        <v>3.4926002203426787E-2</v>
      </c>
      <c r="X732">
        <v>7.0141955330430784E-3</v>
      </c>
      <c r="Y732">
        <v>1.7001314243867069E-3</v>
      </c>
    </row>
    <row r="733" spans="1:25" x14ac:dyDescent="0.25">
      <c r="A733" s="1096"/>
      <c r="B733" s="1455">
        <v>483</v>
      </c>
      <c r="C733" s="1100">
        <v>1.0234471738400559</v>
      </c>
      <c r="D733" s="1100">
        <v>0.98822517679136068</v>
      </c>
      <c r="E733" s="1100">
        <v>1.0207801842773818</v>
      </c>
      <c r="F733" s="1100">
        <v>0.99859993331990538</v>
      </c>
      <c r="G733" s="1100">
        <v>1.0051539006751045</v>
      </c>
      <c r="H733" s="1100">
        <v>0.99408775151714479</v>
      </c>
      <c r="I733" s="1100">
        <v>1.0392310755890386</v>
      </c>
      <c r="K733">
        <v>1.3140206288680445</v>
      </c>
      <c r="L733">
        <v>0</v>
      </c>
      <c r="M733">
        <v>5.6176732269721543E-4</v>
      </c>
      <c r="N733">
        <v>5.5000105976813214E-2</v>
      </c>
      <c r="O733">
        <v>7.6251533761429379E-3</v>
      </c>
      <c r="P733">
        <v>1.6475531964810011E-2</v>
      </c>
      <c r="Q733">
        <v>4.5074261207563168E-4</v>
      </c>
      <c r="R733">
        <v>5.6009978535226162E-4</v>
      </c>
      <c r="S733">
        <v>6.1733169235177188E-2</v>
      </c>
      <c r="T733">
        <v>1.0303221510353819</v>
      </c>
      <c r="U733">
        <v>0</v>
      </c>
      <c r="V733">
        <v>9.7423978298009459E-2</v>
      </c>
      <c r="W733">
        <v>3.5691422442344953E-2</v>
      </c>
      <c r="X733">
        <v>7.7756344857496627E-3</v>
      </c>
      <c r="Y733">
        <v>1.5244069788842368E-3</v>
      </c>
    </row>
    <row r="734" spans="1:25" x14ac:dyDescent="0.25">
      <c r="A734" s="1096"/>
      <c r="B734" s="1455">
        <v>484</v>
      </c>
      <c r="C734" s="1100">
        <v>0.97679605282848092</v>
      </c>
      <c r="D734" s="1100">
        <v>1.0040825203386503</v>
      </c>
      <c r="E734" s="1100">
        <v>0.97825036510564445</v>
      </c>
      <c r="F734" s="1100">
        <v>1.0348807174809909</v>
      </c>
      <c r="G734" s="1100">
        <v>0.97999127837152611</v>
      </c>
      <c r="H734" s="1100">
        <v>0.99335069983709479</v>
      </c>
      <c r="I734" s="1100">
        <v>0.99000903262245854</v>
      </c>
      <c r="K734">
        <v>1.3529186369083712</v>
      </c>
      <c r="L734">
        <v>0</v>
      </c>
      <c r="M734">
        <v>6.3832292276530956E-4</v>
      </c>
      <c r="N734">
        <v>5.4959306810818502E-2</v>
      </c>
      <c r="O734">
        <v>7.9279451764632386E-3</v>
      </c>
      <c r="P734">
        <v>1.6469626802528264E-2</v>
      </c>
      <c r="Q734">
        <v>4.490233472240349E-4</v>
      </c>
      <c r="R734">
        <v>6.3642673361670845E-4</v>
      </c>
      <c r="S734">
        <v>6.1028930088816755E-2</v>
      </c>
      <c r="T734">
        <v>1.0690661802364305</v>
      </c>
      <c r="U734">
        <v>0</v>
      </c>
      <c r="V734">
        <v>9.7315827388948908E-2</v>
      </c>
      <c r="W734">
        <v>3.6578362492825221E-2</v>
      </c>
      <c r="X734">
        <v>7.3931869825772378E-3</v>
      </c>
      <c r="Y734">
        <v>1.7321437708883282E-3</v>
      </c>
    </row>
    <row r="735" spans="1:25" x14ac:dyDescent="0.25">
      <c r="A735" s="1096"/>
      <c r="B735" s="1455">
        <v>485</v>
      </c>
      <c r="C735" s="1100">
        <v>0.9825298702903722</v>
      </c>
      <c r="D735" s="1100">
        <v>0.98812181004387045</v>
      </c>
      <c r="E735" s="1100">
        <v>1.0322312646617122</v>
      </c>
      <c r="F735" s="1100">
        <v>1.0126730762639544</v>
      </c>
      <c r="G735" s="1100">
        <v>0.9955088516099333</v>
      </c>
      <c r="H735" s="1100">
        <v>0.99184404286689742</v>
      </c>
      <c r="I735" s="1100">
        <v>1.0083349786659712</v>
      </c>
      <c r="K735">
        <v>1.3347492181060008</v>
      </c>
      <c r="L735">
        <v>0</v>
      </c>
      <c r="M735">
        <v>5.7010579147254734E-4</v>
      </c>
      <c r="N735">
        <v>5.7777043925414384E-2</v>
      </c>
      <c r="O735">
        <v>7.9459202201164012E-3</v>
      </c>
      <c r="P735">
        <v>1.682787340511669E-2</v>
      </c>
      <c r="Q735">
        <v>4.7506234422163817E-4</v>
      </c>
      <c r="R735">
        <v>5.6840967418004737E-4</v>
      </c>
      <c r="S735">
        <v>6.2336677951837956E-2</v>
      </c>
      <c r="T735">
        <v>1.0445063100623191</v>
      </c>
      <c r="U735">
        <v>0</v>
      </c>
      <c r="V735">
        <v>9.7979066676715701E-2</v>
      </c>
      <c r="W735">
        <v>3.7244394662328456E-2</v>
      </c>
      <c r="X735">
        <v>8.1115412183038107E-3</v>
      </c>
      <c r="Y735">
        <v>1.5470237569193538E-3</v>
      </c>
    </row>
    <row r="736" spans="1:25" x14ac:dyDescent="0.25">
      <c r="A736" s="1096"/>
      <c r="B736" s="1455">
        <v>486</v>
      </c>
      <c r="C736" s="1100">
        <v>0.9980501322330988</v>
      </c>
      <c r="D736" s="1100">
        <v>1.0194211028924141</v>
      </c>
      <c r="E736" s="1100">
        <v>1.0275814771986953</v>
      </c>
      <c r="F736" s="1100">
        <v>1.03232659565482</v>
      </c>
      <c r="G736" s="1100">
        <v>1.0363826950041393</v>
      </c>
      <c r="H736" s="1100">
        <v>0.99444013092233752</v>
      </c>
      <c r="I736" s="1100">
        <v>1.0341539150277788</v>
      </c>
      <c r="K736">
        <v>1.3536311073644536</v>
      </c>
      <c r="L736">
        <v>0</v>
      </c>
      <c r="M736">
        <v>5.6114453290973985E-4</v>
      </c>
      <c r="N736">
        <v>5.6077724581823959E-2</v>
      </c>
      <c r="O736">
        <v>7.7242489319513585E-3</v>
      </c>
      <c r="P736">
        <v>1.7072114352346662E-2</v>
      </c>
      <c r="Q736">
        <v>4.5969101818611567E-4</v>
      </c>
      <c r="R736">
        <v>5.5947943447584537E-4</v>
      </c>
      <c r="S736">
        <v>6.197073506475935E-2</v>
      </c>
      <c r="T736">
        <v>1.0649162526716116</v>
      </c>
      <c r="U736">
        <v>0</v>
      </c>
      <c r="V736">
        <v>9.9559089278996676E-2</v>
      </c>
      <c r="W736">
        <v>3.6246683148805248E-2</v>
      </c>
      <c r="X736">
        <v>8.0835148261067299E-3</v>
      </c>
      <c r="Y736">
        <v>1.5227185882972435E-3</v>
      </c>
    </row>
    <row r="737" spans="1:25" x14ac:dyDescent="0.25">
      <c r="A737" s="1096"/>
      <c r="B737" s="1455">
        <v>487</v>
      </c>
      <c r="C737" s="1100">
        <v>1.0158878463752647</v>
      </c>
      <c r="D737" s="1100">
        <v>0.97407654488491568</v>
      </c>
      <c r="E737" s="1100">
        <v>0.97456228926326305</v>
      </c>
      <c r="F737" s="1100">
        <v>1.0272757245360655</v>
      </c>
      <c r="G737" s="1100">
        <v>1.0199740267713022</v>
      </c>
      <c r="H737" s="1100">
        <v>0.98127527320256769</v>
      </c>
      <c r="I737" s="1100">
        <v>1.008809843284183</v>
      </c>
      <c r="K737">
        <v>1.341178810300389</v>
      </c>
      <c r="L737">
        <v>0</v>
      </c>
      <c r="M737">
        <v>6.183970977958513E-4</v>
      </c>
      <c r="N737">
        <v>5.2650780138989481E-2</v>
      </c>
      <c r="O737">
        <v>7.7150509478174289E-3</v>
      </c>
      <c r="P737">
        <v>1.6324228320038957E-2</v>
      </c>
      <c r="Q737">
        <v>4.3532724344244768E-4</v>
      </c>
      <c r="R737">
        <v>6.1653749407826377E-4</v>
      </c>
      <c r="S737">
        <v>6.0403818624852008E-2</v>
      </c>
      <c r="T737">
        <v>1.0613254124495484</v>
      </c>
      <c r="U737">
        <v>0</v>
      </c>
      <c r="V737">
        <v>9.8269748170088142E-2</v>
      </c>
      <c r="W737">
        <v>3.5120260972627458E-2</v>
      </c>
      <c r="X737">
        <v>7.2580312193523677E-3</v>
      </c>
      <c r="Y737">
        <v>1.6780118173507336E-3</v>
      </c>
    </row>
    <row r="738" spans="1:25" x14ac:dyDescent="0.25">
      <c r="A738" s="1096"/>
      <c r="B738" s="1455">
        <v>488</v>
      </c>
      <c r="C738" s="1100">
        <v>1.0361758581499949</v>
      </c>
      <c r="D738" s="1100">
        <v>0.99546892442818236</v>
      </c>
      <c r="E738" s="1100">
        <v>1.0162442761664985</v>
      </c>
      <c r="F738" s="1100">
        <v>0.97919425258885906</v>
      </c>
      <c r="G738" s="1100">
        <v>1.0047277963072552</v>
      </c>
      <c r="H738" s="1100">
        <v>0.99735024922165016</v>
      </c>
      <c r="I738" s="1100">
        <v>0.96824406137766095</v>
      </c>
      <c r="K738">
        <v>1.2866297953755867</v>
      </c>
      <c r="L738">
        <v>0</v>
      </c>
      <c r="M738">
        <v>5.6032566285113246E-4</v>
      </c>
      <c r="N738">
        <v>5.411383652434025E-2</v>
      </c>
      <c r="O738">
        <v>7.5084343634850862E-3</v>
      </c>
      <c r="P738">
        <v>1.6071881275295651E-2</v>
      </c>
      <c r="Q738">
        <v>4.4184447887787349E-4</v>
      </c>
      <c r="R738">
        <v>5.5866784568848115E-4</v>
      </c>
      <c r="S738">
        <v>5.6676573019674326E-2</v>
      </c>
      <c r="T738">
        <v>1.0104297755707905</v>
      </c>
      <c r="U738">
        <v>0</v>
      </c>
      <c r="V738">
        <v>9.7100754030793421E-2</v>
      </c>
      <c r="W738">
        <v>3.5209715285506364E-2</v>
      </c>
      <c r="X738">
        <v>7.558128932826101E-3</v>
      </c>
      <c r="Y738">
        <v>1.5205097111582098E-3</v>
      </c>
    </row>
    <row r="739" spans="1:25" x14ac:dyDescent="0.25">
      <c r="A739" s="1096"/>
      <c r="B739" s="1455">
        <v>489</v>
      </c>
      <c r="C739" s="1100">
        <v>0.97202033645939756</v>
      </c>
      <c r="D739" s="1100">
        <v>0.99267039936580848</v>
      </c>
      <c r="E739" s="1100">
        <v>1.0044060982293883</v>
      </c>
      <c r="F739" s="1100">
        <v>1.0270094240998038</v>
      </c>
      <c r="G739" s="1100">
        <v>0.98636427546309158</v>
      </c>
      <c r="H739" s="1100">
        <v>0.96479274334062637</v>
      </c>
      <c r="I739" s="1100">
        <v>0.97899261391256631</v>
      </c>
      <c r="K739">
        <v>1.3440092486982651</v>
      </c>
      <c r="L739">
        <v>0</v>
      </c>
      <c r="M739">
        <v>5.9286459687052069E-4</v>
      </c>
      <c r="N739">
        <v>5.5240648356425275E-2</v>
      </c>
      <c r="O739">
        <v>8.0100229496522912E-3</v>
      </c>
      <c r="P739">
        <v>1.6668940237824715E-2</v>
      </c>
      <c r="Q739">
        <v>4.6581697928453381E-4</v>
      </c>
      <c r="R739">
        <v>5.9105131505130231E-4</v>
      </c>
      <c r="S739">
        <v>6.0164423127031977E-2</v>
      </c>
      <c r="T739">
        <v>1.0601283607147456</v>
      </c>
      <c r="U739">
        <v>0</v>
      </c>
      <c r="V739">
        <v>9.7777971695480498E-2</v>
      </c>
      <c r="W739">
        <v>3.6194607201328409E-2</v>
      </c>
      <c r="X739">
        <v>7.7516238787538345E-3</v>
      </c>
      <c r="Y739">
        <v>1.6086468395560031E-3</v>
      </c>
    </row>
    <row r="740" spans="1:25" x14ac:dyDescent="0.25">
      <c r="A740" s="1096"/>
      <c r="B740" s="1455">
        <v>490</v>
      </c>
      <c r="C740" s="1100">
        <v>0.98452882107744655</v>
      </c>
      <c r="D740" s="1100">
        <v>1.0138356571343468</v>
      </c>
      <c r="E740" s="1100">
        <v>1.006033119989278</v>
      </c>
      <c r="F740" s="1100">
        <v>1.015192678567983</v>
      </c>
      <c r="G740" s="1100">
        <v>0.98800956305431176</v>
      </c>
      <c r="H740" s="1100">
        <v>0.98510855083956805</v>
      </c>
      <c r="I740" s="1100">
        <v>0.98824652201659424</v>
      </c>
      <c r="K740">
        <v>1.3309303679975382</v>
      </c>
      <c r="L740">
        <v>0</v>
      </c>
      <c r="M740">
        <v>5.9063692838543891E-4</v>
      </c>
      <c r="N740">
        <v>5.5307664027784753E-2</v>
      </c>
      <c r="O740">
        <v>7.8422023266465531E-3</v>
      </c>
      <c r="P740">
        <v>1.6514424351838433E-2</v>
      </c>
      <c r="Q740">
        <v>4.5680180989979979E-4</v>
      </c>
      <c r="R740">
        <v>5.8886771455214149E-4</v>
      </c>
      <c r="S740">
        <v>5.9904773086053929E-2</v>
      </c>
      <c r="T740">
        <v>1.0478816419941408</v>
      </c>
      <c r="U740">
        <v>0</v>
      </c>
      <c r="V740">
        <v>9.7535436909941237E-2</v>
      </c>
      <c r="W740">
        <v>3.6203634729360883E-2</v>
      </c>
      <c r="X740">
        <v>7.6828541768822903E-3</v>
      </c>
      <c r="Y740">
        <v>1.6027037988209987E-3</v>
      </c>
    </row>
    <row r="741" spans="1:25" x14ac:dyDescent="0.25">
      <c r="A741" s="1096"/>
      <c r="B741" s="1455">
        <v>491</v>
      </c>
      <c r="C741" s="1100">
        <v>0.97541152540624454</v>
      </c>
      <c r="D741" s="1100">
        <v>1.0339617089428206</v>
      </c>
      <c r="E741" s="1100">
        <v>0.96453184520985824</v>
      </c>
      <c r="F741" s="1100">
        <v>1.0043660610837</v>
      </c>
      <c r="G741" s="1100">
        <v>1.0030737045545386</v>
      </c>
      <c r="H741" s="1100">
        <v>0.99868122200801723</v>
      </c>
      <c r="I741" s="1100">
        <v>0.9605617677487861</v>
      </c>
      <c r="K741">
        <v>1.3180708214203565</v>
      </c>
      <c r="L741">
        <v>0</v>
      </c>
      <c r="M741">
        <v>6.5341527106526731E-4</v>
      </c>
      <c r="N741">
        <v>5.3970824916998554E-2</v>
      </c>
      <c r="O741">
        <v>7.8432294093693875E-3</v>
      </c>
      <c r="P741">
        <v>1.5866355819832135E-2</v>
      </c>
      <c r="Q741">
        <v>4.3804476700070314E-4</v>
      </c>
      <c r="R741">
        <v>6.5148460921711472E-4</v>
      </c>
      <c r="S741">
        <v>5.8517769255238189E-2</v>
      </c>
      <c r="T741">
        <v>1.0379654359839265</v>
      </c>
      <c r="U741">
        <v>0</v>
      </c>
      <c r="V741">
        <v>9.8453045910348508E-2</v>
      </c>
      <c r="W741">
        <v>3.622131809951705E-2</v>
      </c>
      <c r="X741">
        <v>7.023601575528244E-3</v>
      </c>
      <c r="Y741">
        <v>1.7731263444452771E-3</v>
      </c>
    </row>
    <row r="742" spans="1:25" x14ac:dyDescent="0.25">
      <c r="A742" s="1096"/>
      <c r="B742" s="1455">
        <v>492</v>
      </c>
      <c r="C742" s="1100">
        <v>0.99340246646471742</v>
      </c>
      <c r="D742" s="1100">
        <v>0.98320271527938408</v>
      </c>
      <c r="E742" s="1100">
        <v>1.0188063680876169</v>
      </c>
      <c r="F742" s="1100">
        <v>0.99211457932053693</v>
      </c>
      <c r="G742" s="1100">
        <v>0.99891209649783475</v>
      </c>
      <c r="H742" s="1100">
        <v>0.97461918596467123</v>
      </c>
      <c r="I742" s="1100">
        <v>0.99342185318366583</v>
      </c>
      <c r="K742">
        <v>1.3075559575499884</v>
      </c>
      <c r="L742">
        <v>0</v>
      </c>
      <c r="M742">
        <v>5.7092040737053936E-4</v>
      </c>
      <c r="N742">
        <v>5.5561084242196065E-2</v>
      </c>
      <c r="O742">
        <v>7.8713050552152667E-3</v>
      </c>
      <c r="P742">
        <v>1.6346924268389303E-2</v>
      </c>
      <c r="Q742">
        <v>4.6438104311256087E-4</v>
      </c>
      <c r="R742">
        <v>5.6919184749012368E-4</v>
      </c>
      <c r="S742">
        <v>6.0362721090741089E-2</v>
      </c>
      <c r="T742">
        <v>1.0236879148446976</v>
      </c>
      <c r="U742">
        <v>0</v>
      </c>
      <c r="V742">
        <v>9.7852366550330264E-2</v>
      </c>
      <c r="W742">
        <v>3.6097127361118371E-2</v>
      </c>
      <c r="X742">
        <v>7.7647090792417129E-3</v>
      </c>
      <c r="Y742">
        <v>1.5491525748260193E-3</v>
      </c>
    </row>
    <row r="743" spans="1:25" x14ac:dyDescent="0.25">
      <c r="A743" s="1096"/>
      <c r="B743" s="1455">
        <v>493</v>
      </c>
      <c r="C743" s="1100">
        <v>0.97495991828556716</v>
      </c>
      <c r="D743" s="1100">
        <v>1.0274221026957688</v>
      </c>
      <c r="E743" s="1100">
        <v>0.96292145263147966</v>
      </c>
      <c r="F743" s="1100">
        <v>0.9645030491460963</v>
      </c>
      <c r="G743" s="1100">
        <v>0.99352800150826315</v>
      </c>
      <c r="H743" s="1100">
        <v>1.0093008370482741</v>
      </c>
      <c r="I743" s="1100">
        <v>0.98459985798465444</v>
      </c>
      <c r="K743">
        <v>1.2789275886875875</v>
      </c>
      <c r="L743">
        <v>0</v>
      </c>
      <c r="M743">
        <v>6.6455166710245074E-4</v>
      </c>
      <c r="N743">
        <v>5.4625249421394198E-2</v>
      </c>
      <c r="O743">
        <v>7.8664040143026411E-3</v>
      </c>
      <c r="P743">
        <v>1.5321807109303866E-2</v>
      </c>
      <c r="Q743">
        <v>4.3861400368109713E-4</v>
      </c>
      <c r="R743">
        <v>6.6260876044350056E-4</v>
      </c>
      <c r="S743">
        <v>6.0536429520490077E-2</v>
      </c>
      <c r="T743">
        <v>0.99681679346706065</v>
      </c>
      <c r="U743">
        <v>0</v>
      </c>
      <c r="V743">
        <v>9.800134002316345E-2</v>
      </c>
      <c r="W743">
        <v>3.6696650303136263E-2</v>
      </c>
      <c r="X743">
        <v>6.8228411147038693E-3</v>
      </c>
      <c r="Y743">
        <v>1.8034026170080323E-3</v>
      </c>
    </row>
    <row r="744" spans="1:25" x14ac:dyDescent="0.25">
      <c r="A744" s="1096"/>
      <c r="B744" s="1455">
        <v>494</v>
      </c>
      <c r="C744" s="1100">
        <v>0.99369194219869883</v>
      </c>
      <c r="D744" s="1100">
        <v>0.97377995116285831</v>
      </c>
      <c r="E744" s="1100">
        <v>0.98184155669040185</v>
      </c>
      <c r="F744" s="1100">
        <v>0.98813200397957501</v>
      </c>
      <c r="G744" s="1100">
        <v>0.9770607082406737</v>
      </c>
      <c r="H744" s="1100">
        <v>0.99152838295677181</v>
      </c>
      <c r="I744" s="1100">
        <v>1.0112878315582565</v>
      </c>
      <c r="K744">
        <v>1.3039464004057344</v>
      </c>
      <c r="L744">
        <v>0</v>
      </c>
      <c r="M744">
        <v>6.2935188172476601E-4</v>
      </c>
      <c r="N744">
        <v>5.4778592761637268E-2</v>
      </c>
      <c r="O744">
        <v>7.8901524446368682E-3</v>
      </c>
      <c r="P744">
        <v>1.5872140191730406E-2</v>
      </c>
      <c r="Q744">
        <v>4.4851693766732539E-4</v>
      </c>
      <c r="R744">
        <v>6.2747890576630126E-4</v>
      </c>
      <c r="S744">
        <v>6.2244065009992029E-2</v>
      </c>
      <c r="T744">
        <v>1.0206654657309053</v>
      </c>
      <c r="U744">
        <v>0</v>
      </c>
      <c r="V744">
        <v>9.6746787417659574E-2</v>
      </c>
      <c r="W744">
        <v>3.6379118736393053E-2</v>
      </c>
      <c r="X744">
        <v>7.2156434179415944E-3</v>
      </c>
      <c r="Y744">
        <v>1.7077907331301779E-3</v>
      </c>
    </row>
    <row r="745" spans="1:25" x14ac:dyDescent="0.25">
      <c r="A745" s="1096"/>
      <c r="B745" s="1455">
        <v>495</v>
      </c>
      <c r="C745" s="1100">
        <v>0.98235688447700642</v>
      </c>
      <c r="D745" s="1100">
        <v>0.97200078904112752</v>
      </c>
      <c r="E745" s="1100">
        <v>0.99307522055276209</v>
      </c>
      <c r="F745" s="1100">
        <v>0.98304018792222103</v>
      </c>
      <c r="G745" s="1100">
        <v>0.99383245835789469</v>
      </c>
      <c r="H745" s="1100">
        <v>1.0075744846142658</v>
      </c>
      <c r="I745" s="1100">
        <v>0.99395890572958412</v>
      </c>
      <c r="K745">
        <v>1.3034224818217577</v>
      </c>
      <c r="L745">
        <v>0</v>
      </c>
      <c r="M745">
        <v>6.3250740590753071E-4</v>
      </c>
      <c r="N745">
        <v>5.6958277249840657E-2</v>
      </c>
      <c r="O745">
        <v>7.9898678858239414E-3</v>
      </c>
      <c r="P745">
        <v>1.5949349195920337E-2</v>
      </c>
      <c r="Q745">
        <v>4.5937913628151965E-4</v>
      </c>
      <c r="R745">
        <v>6.3065501657119151E-4</v>
      </c>
      <c r="S745">
        <v>6.2456837430896493E-2</v>
      </c>
      <c r="T745">
        <v>1.0150731705505549</v>
      </c>
      <c r="U745">
        <v>0</v>
      </c>
      <c r="V745">
        <v>9.785827750396317E-2</v>
      </c>
      <c r="W745">
        <v>3.7572457649314439E-2</v>
      </c>
      <c r="X745">
        <v>7.3902825487615941E-3</v>
      </c>
      <c r="Y745">
        <v>1.7164350597364442E-3</v>
      </c>
    </row>
    <row r="746" spans="1:25" x14ac:dyDescent="0.25">
      <c r="A746" s="1096"/>
      <c r="B746" s="1455">
        <v>496</v>
      </c>
      <c r="C746" s="1100">
        <v>1.0025504304521151</v>
      </c>
      <c r="D746" s="1100">
        <v>0.97520965736322207</v>
      </c>
      <c r="E746" s="1100">
        <v>0.98787708257683449</v>
      </c>
      <c r="F746" s="1100">
        <v>1.0051115795951582</v>
      </c>
      <c r="G746" s="1100">
        <v>1.0214449084915094</v>
      </c>
      <c r="H746" s="1100">
        <v>1.0420856190100269</v>
      </c>
      <c r="I746" s="1100">
        <v>1.0233076415528144</v>
      </c>
      <c r="K746">
        <v>1.3296522043111991</v>
      </c>
      <c r="L746">
        <v>0</v>
      </c>
      <c r="M746">
        <v>6.4708033312538922E-4</v>
      </c>
      <c r="N746">
        <v>5.7367567787227999E-2</v>
      </c>
      <c r="O746">
        <v>7.8173364571782339E-3</v>
      </c>
      <c r="P746">
        <v>1.6228881252801537E-2</v>
      </c>
      <c r="Q746">
        <v>4.4710471381969772E-4</v>
      </c>
      <c r="R746">
        <v>6.4524802454148241E-4</v>
      </c>
      <c r="S746">
        <v>6.3975514094560926E-2</v>
      </c>
      <c r="T746">
        <v>1.0380207711557554</v>
      </c>
      <c r="U746">
        <v>0</v>
      </c>
      <c r="V746">
        <v>9.8680122499433143E-2</v>
      </c>
      <c r="W746">
        <v>3.7960426316731077E-2</v>
      </c>
      <c r="X746">
        <v>7.4001599254274013E-3</v>
      </c>
      <c r="Y746">
        <v>1.7561524168477913E-3</v>
      </c>
    </row>
    <row r="747" spans="1:25" x14ac:dyDescent="0.25">
      <c r="A747" s="1096"/>
      <c r="B747" s="1455">
        <v>497</v>
      </c>
      <c r="C747" s="1100">
        <v>1.0074981714822873</v>
      </c>
      <c r="D747" s="1100">
        <v>0.99804370736920034</v>
      </c>
      <c r="E747" s="1100">
        <v>1.0181082561603965</v>
      </c>
      <c r="F747" s="1100">
        <v>0.98502988054555396</v>
      </c>
      <c r="G747" s="1100">
        <v>1.0032273274779782</v>
      </c>
      <c r="H747" s="1100">
        <v>0.97454399101748757</v>
      </c>
      <c r="I747" s="1100">
        <v>1.0036127888287969</v>
      </c>
      <c r="K747">
        <v>1.2971240647713451</v>
      </c>
      <c r="L747">
        <v>0</v>
      </c>
      <c r="M747">
        <v>5.6033933523487022E-4</v>
      </c>
      <c r="N747">
        <v>5.4416600023975109E-2</v>
      </c>
      <c r="O747">
        <v>7.7146371594836631E-3</v>
      </c>
      <c r="P747">
        <v>1.6225871030822958E-2</v>
      </c>
      <c r="Q747">
        <v>4.5482211854748576E-4</v>
      </c>
      <c r="R747">
        <v>5.5864268047077568E-4</v>
      </c>
      <c r="S747">
        <v>5.9642753425296444E-2</v>
      </c>
      <c r="T747">
        <v>1.0163978417599377</v>
      </c>
      <c r="U747">
        <v>0</v>
      </c>
      <c r="V747">
        <v>9.7711225520050168E-2</v>
      </c>
      <c r="W747">
        <v>3.5368034724869317E-2</v>
      </c>
      <c r="X747">
        <v>7.6735344433926057E-3</v>
      </c>
      <c r="Y747">
        <v>1.5204412197313273E-3</v>
      </c>
    </row>
    <row r="748" spans="1:25" x14ac:dyDescent="0.25">
      <c r="A748" s="1096"/>
      <c r="B748" s="1455">
        <v>498</v>
      </c>
      <c r="C748" s="1100">
        <v>0.99595118991613785</v>
      </c>
      <c r="D748" s="1100">
        <v>0.957677092258717</v>
      </c>
      <c r="E748" s="1100">
        <v>0.99919418692317241</v>
      </c>
      <c r="F748" s="1100">
        <v>0.9693029990499985</v>
      </c>
      <c r="G748" s="1100">
        <v>0.9844043899071484</v>
      </c>
      <c r="H748" s="1100">
        <v>0.96667869658848804</v>
      </c>
      <c r="I748" s="1100">
        <v>1.035407629543319</v>
      </c>
      <c r="K748">
        <v>1.2847324176804407</v>
      </c>
      <c r="L748">
        <v>0</v>
      </c>
      <c r="M748">
        <v>5.9452734261669019E-4</v>
      </c>
      <c r="N748">
        <v>5.4530571879237676E-2</v>
      </c>
      <c r="O748">
        <v>7.9292816696550587E-3</v>
      </c>
      <c r="P748">
        <v>1.5828478794420963E-2</v>
      </c>
      <c r="Q748">
        <v>4.587144661013527E-4</v>
      </c>
      <c r="R748">
        <v>5.9271252283961753E-4</v>
      </c>
      <c r="S748">
        <v>6.3372304117099917E-2</v>
      </c>
      <c r="T748">
        <v>1.0007111224501457</v>
      </c>
      <c r="U748">
        <v>0</v>
      </c>
      <c r="V748">
        <v>9.706468188149843E-2</v>
      </c>
      <c r="W748">
        <v>3.584004504795215E-2</v>
      </c>
      <c r="X748">
        <v>7.3858640945674041E-3</v>
      </c>
      <c r="Y748">
        <v>1.6131680995387964E-3</v>
      </c>
    </row>
    <row r="749" spans="1:25" x14ac:dyDescent="0.25">
      <c r="A749" s="1096"/>
      <c r="B749" s="1455">
        <v>499</v>
      </c>
      <c r="C749" s="1100">
        <v>0.95443932318113955</v>
      </c>
      <c r="D749" s="1100">
        <v>0.97724886884819206</v>
      </c>
      <c r="E749" s="1100">
        <v>0.96385521995478629</v>
      </c>
      <c r="F749" s="1100">
        <v>0.98941186076936416</v>
      </c>
      <c r="G749" s="1100">
        <v>1.010807104692814</v>
      </c>
      <c r="H749" s="1100">
        <v>1.0005873210061806</v>
      </c>
      <c r="I749" s="1100">
        <v>0.99842243821465881</v>
      </c>
      <c r="K749">
        <v>1.3137537232012022</v>
      </c>
      <c r="L749">
        <v>0</v>
      </c>
      <c r="M749">
        <v>6.8527161232945861E-4</v>
      </c>
      <c r="N749">
        <v>5.6486521314594362E-2</v>
      </c>
      <c r="O749">
        <v>8.1983213871897366E-3</v>
      </c>
      <c r="P749">
        <v>1.5740171443790779E-2</v>
      </c>
      <c r="Q749">
        <v>4.5755910375208577E-4</v>
      </c>
      <c r="R749">
        <v>6.8325068096408053E-4</v>
      </c>
      <c r="S749">
        <v>6.4130735477262071E-2</v>
      </c>
      <c r="T749">
        <v>1.0225316125204815</v>
      </c>
      <c r="U749">
        <v>0</v>
      </c>
      <c r="V749">
        <v>9.9384289999707998E-2</v>
      </c>
      <c r="W749">
        <v>3.7925359031766692E-2</v>
      </c>
      <c r="X749">
        <v>7.0415907339644269E-3</v>
      </c>
      <c r="Y749">
        <v>1.8595831200577805E-3</v>
      </c>
    </row>
    <row r="750" spans="1:25" x14ac:dyDescent="0.25">
      <c r="A750" s="1096"/>
      <c r="B750" s="1455">
        <v>500</v>
      </c>
      <c r="C750" s="1100">
        <v>0.9658706364391042</v>
      </c>
      <c r="D750" s="1100">
        <v>0.95173773956064323</v>
      </c>
      <c r="E750" s="1100">
        <v>0.98848198400072806</v>
      </c>
      <c r="F750" s="1100">
        <v>1.0084605563278526</v>
      </c>
      <c r="G750" s="1100">
        <v>0.99945176224887</v>
      </c>
      <c r="H750" s="1100">
        <v>1.0144439005521086</v>
      </c>
      <c r="I750" s="1100">
        <v>1.0423114940815092</v>
      </c>
      <c r="K750">
        <v>1.3392150012508135</v>
      </c>
      <c r="L750">
        <v>0</v>
      </c>
      <c r="M750">
        <v>6.5941444196573927E-4</v>
      </c>
      <c r="N750">
        <v>5.8563559487632866E-2</v>
      </c>
      <c r="O750">
        <v>8.1938242702454672E-3</v>
      </c>
      <c r="P750">
        <v>1.6330112082232541E-2</v>
      </c>
      <c r="Q750">
        <v>4.689244652842913E-4</v>
      </c>
      <c r="R750">
        <v>6.5749632875016157E-4</v>
      </c>
      <c r="S750">
        <v>6.7596734998199556E-2</v>
      </c>
      <c r="T750">
        <v>1.0414610270016353</v>
      </c>
      <c r="U750">
        <v>0</v>
      </c>
      <c r="V750">
        <v>9.8555502549763738E-2</v>
      </c>
      <c r="W750">
        <v>3.8737760125388924E-2</v>
      </c>
      <c r="X750">
        <v>7.5199861203941089E-3</v>
      </c>
      <c r="Y750">
        <v>1.7894882632514179E-3</v>
      </c>
    </row>
    <row r="751" spans="1:25" x14ac:dyDescent="0.25">
      <c r="A751" s="1096"/>
      <c r="B751" s="1455">
        <v>501</v>
      </c>
      <c r="C751" s="1100">
        <v>0.9618925265009779</v>
      </c>
      <c r="D751" s="1100">
        <v>1.0187311837120567</v>
      </c>
      <c r="E751" s="1100">
        <v>1.0419787608700168</v>
      </c>
      <c r="F751" s="1100">
        <v>1.0016762012792131</v>
      </c>
      <c r="G751" s="1100">
        <v>1.0186325007793953</v>
      </c>
      <c r="H751" s="1100">
        <v>1.0287845499324468</v>
      </c>
      <c r="I751" s="1100">
        <v>1.0314446631381535</v>
      </c>
      <c r="K751">
        <v>1.3331885140781181</v>
      </c>
      <c r="L751">
        <v>0</v>
      </c>
      <c r="M751">
        <v>5.8468986544837366E-4</v>
      </c>
      <c r="N751">
        <v>6.1027680387221658E-2</v>
      </c>
      <c r="O751">
        <v>8.020440647823467E-3</v>
      </c>
      <c r="P751">
        <v>1.6848286069601599E-2</v>
      </c>
      <c r="Q751">
        <v>4.8414315283292733E-4</v>
      </c>
      <c r="R751">
        <v>5.8301281954128493E-4</v>
      </c>
      <c r="S751">
        <v>6.5287000559671904E-2</v>
      </c>
      <c r="T751">
        <v>1.0328838608306652</v>
      </c>
      <c r="U751">
        <v>0</v>
      </c>
      <c r="V751">
        <v>9.9650662563320308E-2</v>
      </c>
      <c r="W751">
        <v>3.9119094247017892E-2</v>
      </c>
      <c r="X751">
        <v>8.282253961202482E-3</v>
      </c>
      <c r="Y751">
        <v>1.5867687046670681E-3</v>
      </c>
    </row>
    <row r="752" spans="1:25" x14ac:dyDescent="0.25">
      <c r="A752" s="1096"/>
      <c r="B752" s="1455">
        <v>502</v>
      </c>
      <c r="C752" s="1100">
        <v>1.0094809033980037</v>
      </c>
      <c r="D752" s="1100">
        <v>1.0342823788853079</v>
      </c>
      <c r="E752" s="1100">
        <v>0.95698681905518845</v>
      </c>
      <c r="F752" s="1100">
        <v>1.001262363489974</v>
      </c>
      <c r="G752" s="1100">
        <v>1.0020714526400307</v>
      </c>
      <c r="H752" s="1100">
        <v>0.96501949283381327</v>
      </c>
      <c r="I752" s="1100">
        <v>1.0001341327658888</v>
      </c>
      <c r="K752">
        <v>1.3063500848696006</v>
      </c>
      <c r="L752">
        <v>0</v>
      </c>
      <c r="M752">
        <v>6.195679700637946E-4</v>
      </c>
      <c r="N752">
        <v>5.00132887509874E-2</v>
      </c>
      <c r="O752">
        <v>7.5757866960593336E-3</v>
      </c>
      <c r="P752">
        <v>1.5713938819417232E-2</v>
      </c>
      <c r="Q752">
        <v>4.1984103011129693E-4</v>
      </c>
      <c r="R752">
        <v>6.1767346098739009E-4</v>
      </c>
      <c r="S752">
        <v>5.7851319324965837E-2</v>
      </c>
      <c r="T752">
        <v>1.034991653115416</v>
      </c>
      <c r="U752">
        <v>0</v>
      </c>
      <c r="V752">
        <v>9.7539308827293489E-2</v>
      </c>
      <c r="W752">
        <v>3.3720939179523936E-2</v>
      </c>
      <c r="X752">
        <v>6.8448000900956478E-3</v>
      </c>
      <c r="Y752">
        <v>1.6811035448059844E-3</v>
      </c>
    </row>
    <row r="753" spans="1:25" x14ac:dyDescent="0.25">
      <c r="A753" s="1096"/>
      <c r="B753" s="1455">
        <v>503</v>
      </c>
      <c r="C753" s="1100">
        <v>1.0001343578786794</v>
      </c>
      <c r="D753" s="1100">
        <v>0.97686546009998987</v>
      </c>
      <c r="E753" s="1100">
        <v>1.0215092402244506</v>
      </c>
      <c r="F753" s="1100">
        <v>0.96293662567176463</v>
      </c>
      <c r="G753" s="1100">
        <v>0.98928581975369256</v>
      </c>
      <c r="H753" s="1100">
        <v>1.0299379084572498</v>
      </c>
      <c r="I753" s="1100">
        <v>1.0052333309321462</v>
      </c>
      <c r="K753">
        <v>1.2835815592749382</v>
      </c>
      <c r="L753">
        <v>0</v>
      </c>
      <c r="M753">
        <v>5.9744707389051716E-4</v>
      </c>
      <c r="N753">
        <v>5.8628205913477636E-2</v>
      </c>
      <c r="O753">
        <v>7.8392437928881762E-3</v>
      </c>
      <c r="P753">
        <v>1.5983330467860022E-2</v>
      </c>
      <c r="Q753">
        <v>4.6373382717733051E-4</v>
      </c>
      <c r="R753">
        <v>5.9573535590691181E-4</v>
      </c>
      <c r="S753">
        <v>6.2597995396715525E-2</v>
      </c>
      <c r="T753">
        <v>0.99350548280890794</v>
      </c>
      <c r="U753">
        <v>0</v>
      </c>
      <c r="V753">
        <v>9.7221677394822362E-2</v>
      </c>
      <c r="W753">
        <v>3.8029608894053442E-2</v>
      </c>
      <c r="X753">
        <v>7.6925972423470945E-3</v>
      </c>
      <c r="Y753">
        <v>1.6213952546713184E-3</v>
      </c>
    </row>
    <row r="754" spans="1:25" x14ac:dyDescent="0.25">
      <c r="A754" s="1096"/>
      <c r="B754" s="1455">
        <v>504</v>
      </c>
      <c r="C754" s="1100">
        <v>1.0128397586869151</v>
      </c>
      <c r="D754" s="1100">
        <v>1.0398319224272046</v>
      </c>
      <c r="E754" s="1100">
        <v>1.0081618889083293</v>
      </c>
      <c r="F754" s="1100">
        <v>0.98859595884811746</v>
      </c>
      <c r="G754" s="1100">
        <v>1.0112460840931696</v>
      </c>
      <c r="H754" s="1100">
        <v>1.008481305933169</v>
      </c>
      <c r="I754" s="1100">
        <v>1.0106632383233354</v>
      </c>
      <c r="K754">
        <v>1.3013037910995147</v>
      </c>
      <c r="L754">
        <v>0</v>
      </c>
      <c r="M754">
        <v>5.7926060614940872E-4</v>
      </c>
      <c r="N754">
        <v>5.4595977903952965E-2</v>
      </c>
      <c r="O754">
        <v>7.5466944365900112E-3</v>
      </c>
      <c r="P754">
        <v>1.6162515647368748E-2</v>
      </c>
      <c r="Q754">
        <v>4.4052666382463068E-4</v>
      </c>
      <c r="R754">
        <v>5.7756568319825344E-4</v>
      </c>
      <c r="S754">
        <v>5.9450817100649124E-2</v>
      </c>
      <c r="T754">
        <v>1.0203663184093443</v>
      </c>
      <c r="U754">
        <v>0</v>
      </c>
      <c r="V754">
        <v>9.7958284675557575E-2</v>
      </c>
      <c r="W754">
        <v>3.5692839265263822E-2</v>
      </c>
      <c r="X754">
        <v>7.519568524723139E-3</v>
      </c>
      <c r="Y754">
        <v>1.5719433951893493E-3</v>
      </c>
    </row>
    <row r="755" spans="1:25" x14ac:dyDescent="0.25">
      <c r="A755" s="1096"/>
      <c r="B755" s="1455">
        <v>505</v>
      </c>
      <c r="C755" s="1100">
        <v>0.99317825331577581</v>
      </c>
      <c r="D755" s="1100">
        <v>1.0072406341337139</v>
      </c>
      <c r="E755" s="1100">
        <v>1.0135258586900535</v>
      </c>
      <c r="F755" s="1100">
        <v>0.96840501835654358</v>
      </c>
      <c r="G755" s="1100">
        <v>1.0378467644811495</v>
      </c>
      <c r="H755" s="1100">
        <v>1.0054208382871996</v>
      </c>
      <c r="I755" s="1100">
        <v>0.99271246760726628</v>
      </c>
      <c r="K755">
        <v>1.2863269007433606</v>
      </c>
      <c r="L755">
        <v>0</v>
      </c>
      <c r="M755">
        <v>5.8987401791942397E-4</v>
      </c>
      <c r="N755">
        <v>5.6503388248862189E-2</v>
      </c>
      <c r="O755">
        <v>7.7960755583121443E-3</v>
      </c>
      <c r="P755">
        <v>1.5976268741834214E-2</v>
      </c>
      <c r="Q755">
        <v>4.5752949012928783E-4</v>
      </c>
      <c r="R755">
        <v>5.8814278618839427E-4</v>
      </c>
      <c r="S755">
        <v>6.0486415170803567E-2</v>
      </c>
      <c r="T755">
        <v>0.99937356575575564</v>
      </c>
      <c r="U755">
        <v>0</v>
      </c>
      <c r="V755">
        <v>9.9735764377185315E-2</v>
      </c>
      <c r="W755">
        <v>3.6823254901813492E-2</v>
      </c>
      <c r="X755">
        <v>7.5756389476086799E-3</v>
      </c>
      <c r="Y755">
        <v>1.6007307827874487E-3</v>
      </c>
    </row>
    <row r="756" spans="1:25" x14ac:dyDescent="0.25">
      <c r="A756" s="1096"/>
      <c r="B756" s="1455">
        <v>506</v>
      </c>
      <c r="C756" s="1100">
        <v>1.0088326401642749</v>
      </c>
      <c r="D756" s="1100">
        <v>1.0093467068560722</v>
      </c>
      <c r="E756" s="1100">
        <v>1.0062759072870957</v>
      </c>
      <c r="F756" s="1100">
        <v>0.99621731095472243</v>
      </c>
      <c r="G756" s="1100">
        <v>1.0087413831953527</v>
      </c>
      <c r="H756" s="1100">
        <v>0.99647260832476781</v>
      </c>
      <c r="I756" s="1100">
        <v>0.985697264190881</v>
      </c>
      <c r="K756">
        <v>1.3090106863163558</v>
      </c>
      <c r="L756">
        <v>0</v>
      </c>
      <c r="M756">
        <v>5.8379871293537801E-4</v>
      </c>
      <c r="N756">
        <v>5.4709298869204066E-2</v>
      </c>
      <c r="O756">
        <v>7.6669311889495202E-3</v>
      </c>
      <c r="P756">
        <v>1.6239041197027598E-2</v>
      </c>
      <c r="Q756">
        <v>4.4670104228967396E-4</v>
      </c>
      <c r="R756">
        <v>5.8206992554370271E-4</v>
      </c>
      <c r="S756">
        <v>5.8787975463312971E-2</v>
      </c>
      <c r="T756">
        <v>1.0282881171112417</v>
      </c>
      <c r="U756">
        <v>0</v>
      </c>
      <c r="V756">
        <v>9.7932202560890372E-2</v>
      </c>
      <c r="W756">
        <v>3.5806810898119358E-2</v>
      </c>
      <c r="X756">
        <v>7.5511343146812179E-3</v>
      </c>
      <c r="Y756">
        <v>1.5842024580305719E-3</v>
      </c>
    </row>
    <row r="757" spans="1:25" x14ac:dyDescent="0.25">
      <c r="A757" s="1096"/>
      <c r="B757" s="1455">
        <v>507</v>
      </c>
      <c r="C757" s="1100">
        <v>0.99491844122100492</v>
      </c>
      <c r="D757" s="1100">
        <v>0.97469346510645649</v>
      </c>
      <c r="E757" s="1100">
        <v>1.0275529829552379</v>
      </c>
      <c r="F757" s="1100">
        <v>1.0002178533028971</v>
      </c>
      <c r="G757" s="1100">
        <v>1.002235629435448</v>
      </c>
      <c r="H757" s="1100">
        <v>1.0166925001757217</v>
      </c>
      <c r="I757" s="1100">
        <v>1.0043348705252311</v>
      </c>
      <c r="K757">
        <v>1.323247518822813</v>
      </c>
      <c r="L757">
        <v>0</v>
      </c>
      <c r="M757">
        <v>5.8596353855948943E-4</v>
      </c>
      <c r="N757">
        <v>5.8556784062495759E-2</v>
      </c>
      <c r="O757">
        <v>7.8888731114892512E-3</v>
      </c>
      <c r="P757">
        <v>1.6596735496758601E-2</v>
      </c>
      <c r="Q757">
        <v>4.6947500595019602E-4</v>
      </c>
      <c r="R757">
        <v>5.8426284999529648E-4</v>
      </c>
      <c r="S757">
        <v>6.2538329187605574E-2</v>
      </c>
      <c r="T757">
        <v>1.0317946901242727</v>
      </c>
      <c r="U757">
        <v>0</v>
      </c>
      <c r="V757">
        <v>9.7985018993169221E-2</v>
      </c>
      <c r="W757">
        <v>3.7849687871030102E-2</v>
      </c>
      <c r="X757">
        <v>7.9794547831155208E-3</v>
      </c>
      <c r="Y757">
        <v>1.5901708754904593E-3</v>
      </c>
    </row>
    <row r="758" spans="1:25" x14ac:dyDescent="0.25">
      <c r="A758" s="1096"/>
      <c r="B758" s="1455">
        <v>508</v>
      </c>
      <c r="C758" s="1100">
        <v>1.0227505007872346</v>
      </c>
      <c r="D758" s="1100">
        <v>1.0376683161716176</v>
      </c>
      <c r="E758" s="1100">
        <v>1.006409723350209</v>
      </c>
      <c r="F758" s="1100">
        <v>1.0137580890058733</v>
      </c>
      <c r="G758" s="1100">
        <v>1.0276928320455936</v>
      </c>
      <c r="H758" s="1100">
        <v>0.96082088370538365</v>
      </c>
      <c r="I758" s="1100">
        <v>0.99956890925063646</v>
      </c>
      <c r="K758">
        <v>1.3203797980995915</v>
      </c>
      <c r="L758">
        <v>0</v>
      </c>
      <c r="M758">
        <v>5.4898652458397381E-4</v>
      </c>
      <c r="N758">
        <v>5.1462079786045049E-2</v>
      </c>
      <c r="O758">
        <v>7.4793792434543474E-3</v>
      </c>
      <c r="P758">
        <v>1.6470681761933465E-2</v>
      </c>
      <c r="Q758">
        <v>4.3583205315365486E-4</v>
      </c>
      <c r="R758">
        <v>5.4730050323798039E-4</v>
      </c>
      <c r="S758">
        <v>5.6890073886611804E-2</v>
      </c>
      <c r="T758">
        <v>1.0463895658439841</v>
      </c>
      <c r="U758">
        <v>0</v>
      </c>
      <c r="V758">
        <v>9.851486905176042E-2</v>
      </c>
      <c r="W758">
        <v>3.3678865932741588E-2</v>
      </c>
      <c r="X758">
        <v>7.5705650090012178E-3</v>
      </c>
      <c r="Y758">
        <v>1.4895715522513782E-3</v>
      </c>
    </row>
    <row r="759" spans="1:25" x14ac:dyDescent="0.25">
      <c r="A759" s="1096"/>
      <c r="B759" s="1455">
        <v>509</v>
      </c>
      <c r="C759" s="1100">
        <v>0.99830343059365889</v>
      </c>
      <c r="D759" s="1100">
        <v>0.97920048600856369</v>
      </c>
      <c r="E759" s="1100">
        <v>0.95962557793193504</v>
      </c>
      <c r="F759" s="1100">
        <v>1.005651850987622</v>
      </c>
      <c r="G759" s="1100">
        <v>0.98677507299512157</v>
      </c>
      <c r="H759" s="1100">
        <v>0.97006811506313129</v>
      </c>
      <c r="I759" s="1100">
        <v>1.0341228944104257</v>
      </c>
      <c r="K759">
        <v>1.3189796378037599</v>
      </c>
      <c r="L759">
        <v>0</v>
      </c>
      <c r="M759">
        <v>6.40230399298825E-4</v>
      </c>
      <c r="N759">
        <v>5.2096988984368722E-2</v>
      </c>
      <c r="O759">
        <v>7.8308034769192063E-3</v>
      </c>
      <c r="P759">
        <v>1.5859912626766198E-2</v>
      </c>
      <c r="Q759">
        <v>4.3515346106332952E-4</v>
      </c>
      <c r="R759">
        <v>6.3828289744548923E-4</v>
      </c>
      <c r="S759">
        <v>6.2460114958019369E-2</v>
      </c>
      <c r="T759">
        <v>1.039446705494165</v>
      </c>
      <c r="U759">
        <v>0</v>
      </c>
      <c r="V759">
        <v>9.7077093347038804E-2</v>
      </c>
      <c r="W759">
        <v>3.5068958125772577E-2</v>
      </c>
      <c r="X759">
        <v>6.9686591945531369E-3</v>
      </c>
      <c r="Y759">
        <v>1.7371956369460276E-3</v>
      </c>
    </row>
    <row r="760" spans="1:25" x14ac:dyDescent="0.25">
      <c r="A760" s="1096"/>
      <c r="B760" s="1455">
        <v>510</v>
      </c>
      <c r="C760" s="1100">
        <v>0.98910511640814769</v>
      </c>
      <c r="D760" s="1100">
        <v>0.98747788556787441</v>
      </c>
      <c r="E760" s="1100">
        <v>1.0276581765516075</v>
      </c>
      <c r="F760" s="1100">
        <v>0.97960952647191124</v>
      </c>
      <c r="G760" s="1100">
        <v>0.97061410162758355</v>
      </c>
      <c r="H760" s="1100">
        <v>1.0182599239576084</v>
      </c>
      <c r="I760" s="1100">
        <v>0.97251528648477947</v>
      </c>
      <c r="K760">
        <v>1.298371138817042</v>
      </c>
      <c r="L760">
        <v>0</v>
      </c>
      <c r="M760">
        <v>5.8711849802422686E-4</v>
      </c>
      <c r="N760">
        <v>5.8691076969813079E-2</v>
      </c>
      <c r="O760">
        <v>7.8940109235942271E-3</v>
      </c>
      <c r="P760">
        <v>1.6254898685564175E-2</v>
      </c>
      <c r="Q760">
        <v>4.6982968852817204E-4</v>
      </c>
      <c r="R760">
        <v>5.8541708038644367E-4</v>
      </c>
      <c r="S760">
        <v>6.0536527125300513E-2</v>
      </c>
      <c r="T760">
        <v>1.0105327764092624</v>
      </c>
      <c r="U760">
        <v>0</v>
      </c>
      <c r="V760">
        <v>9.6601570636512757E-2</v>
      </c>
      <c r="W760">
        <v>3.7934170779165777E-2</v>
      </c>
      <c r="X760">
        <v>7.8646667068165733E-3</v>
      </c>
      <c r="Y760">
        <v>1.593312310123215E-3</v>
      </c>
    </row>
    <row r="761" spans="1:25" x14ac:dyDescent="0.25">
      <c r="A761" s="1096"/>
      <c r="B761" s="1455">
        <v>511</v>
      </c>
      <c r="C761" s="1100">
        <v>0.99602756711199092</v>
      </c>
      <c r="D761" s="1100">
        <v>0.99504730888092485</v>
      </c>
      <c r="E761" s="1100">
        <v>0.97147605218035737</v>
      </c>
      <c r="F761" s="1100">
        <v>1.0127970237899664</v>
      </c>
      <c r="G761" s="1100">
        <v>1.040094717924495</v>
      </c>
      <c r="H761" s="1100">
        <v>0.97244108837570709</v>
      </c>
      <c r="I761" s="1100">
        <v>0.97949331663203976</v>
      </c>
      <c r="K761">
        <v>1.3259988343144202</v>
      </c>
      <c r="L761">
        <v>0</v>
      </c>
      <c r="M761">
        <v>6.237096449525154E-4</v>
      </c>
      <c r="N761">
        <v>5.2607836740497217E-2</v>
      </c>
      <c r="O761">
        <v>7.8013669788061799E-3</v>
      </c>
      <c r="P761">
        <v>1.6086291244419449E-2</v>
      </c>
      <c r="Q761">
        <v>4.3881365616819191E-4</v>
      </c>
      <c r="R761">
        <v>6.2181702690281406E-4</v>
      </c>
      <c r="S761">
        <v>5.886756177356485E-2</v>
      </c>
      <c r="T761">
        <v>1.0464623665577115</v>
      </c>
      <c r="U761">
        <v>0</v>
      </c>
      <c r="V761">
        <v>9.9725744153003115E-2</v>
      </c>
      <c r="W761">
        <v>3.5157435410476626E-2</v>
      </c>
      <c r="X761">
        <v>7.1609294525197187E-3</v>
      </c>
      <c r="Y761">
        <v>1.6923809653016314E-3</v>
      </c>
    </row>
    <row r="762" spans="1:25" x14ac:dyDescent="0.25">
      <c r="A762" s="1096"/>
      <c r="B762" s="1455">
        <v>512</v>
      </c>
      <c r="C762" s="1100">
        <v>1.0045960352159424</v>
      </c>
      <c r="D762" s="1100">
        <v>0.98576501344123579</v>
      </c>
      <c r="E762" s="1100">
        <v>1.0327690938349277</v>
      </c>
      <c r="F762" s="1100">
        <v>1.0119238526870644</v>
      </c>
      <c r="G762" s="1100">
        <v>0.98022233060488084</v>
      </c>
      <c r="H762" s="1100">
        <v>0.99790829766527334</v>
      </c>
      <c r="I762" s="1100">
        <v>0.97806962027136091</v>
      </c>
      <c r="K762">
        <v>1.3280085317497321</v>
      </c>
      <c r="L762">
        <v>0</v>
      </c>
      <c r="M762">
        <v>5.6089934386146395E-4</v>
      </c>
      <c r="N762">
        <v>5.6937274722551431E-2</v>
      </c>
      <c r="O762">
        <v>7.7789459204583066E-3</v>
      </c>
      <c r="P762">
        <v>1.6764221628817976E-2</v>
      </c>
      <c r="Q762">
        <v>4.6532649189966863E-4</v>
      </c>
      <c r="R762">
        <v>5.5924075739826598E-4</v>
      </c>
      <c r="S762">
        <v>5.939534700768289E-2</v>
      </c>
      <c r="T762">
        <v>1.0437178597350012</v>
      </c>
      <c r="U762">
        <v>0</v>
      </c>
      <c r="V762">
        <v>9.6685666312089177E-2</v>
      </c>
      <c r="W762">
        <v>3.6691626019507761E-2</v>
      </c>
      <c r="X762">
        <v>8.0518535102141377E-3</v>
      </c>
      <c r="Y762">
        <v>1.5220689879719496E-3</v>
      </c>
    </row>
    <row r="763" spans="1:25" x14ac:dyDescent="0.25">
      <c r="A763" s="1096"/>
      <c r="B763" s="1455">
        <v>513</v>
      </c>
      <c r="C763" s="1100">
        <v>0.9821277185385876</v>
      </c>
      <c r="D763" s="1100">
        <v>0.99335880432722512</v>
      </c>
      <c r="E763" s="1100">
        <v>1.0053171574779971</v>
      </c>
      <c r="F763" s="1100">
        <v>1.0028131340570969</v>
      </c>
      <c r="G763" s="1100">
        <v>1.0107016513996803</v>
      </c>
      <c r="H763" s="1100">
        <v>1.0273970937015637</v>
      </c>
      <c r="I763" s="1100">
        <v>1.0148729794332467</v>
      </c>
      <c r="K763">
        <v>1.3280752640576585</v>
      </c>
      <c r="L763">
        <v>0</v>
      </c>
      <c r="M763">
        <v>6.234841553127556E-4</v>
      </c>
      <c r="N763">
        <v>5.8264607218713023E-2</v>
      </c>
      <c r="O763">
        <v>7.9256197946414204E-3</v>
      </c>
      <c r="P763">
        <v>1.6398651611578528E-2</v>
      </c>
      <c r="Q763">
        <v>4.6132972471510419E-4</v>
      </c>
      <c r="R763">
        <v>6.216934220253193E-4</v>
      </c>
      <c r="S763">
        <v>6.3686262607737784E-2</v>
      </c>
      <c r="T763">
        <v>1.0351247284127689</v>
      </c>
      <c r="U763">
        <v>0</v>
      </c>
      <c r="V763">
        <v>9.8693991985223301E-2</v>
      </c>
      <c r="W763">
        <v>3.8155369243194674E-2</v>
      </c>
      <c r="X763">
        <v>7.6744496388019305E-3</v>
      </c>
      <c r="Y763">
        <v>1.6920445535714274E-3</v>
      </c>
    </row>
    <row r="764" spans="1:25" x14ac:dyDescent="0.25">
      <c r="A764" s="1096"/>
      <c r="B764" s="1455">
        <v>514</v>
      </c>
      <c r="C764" s="1100">
        <v>0.99129652154153092</v>
      </c>
      <c r="D764" s="1100">
        <v>1.0081860169887999</v>
      </c>
      <c r="E764" s="1100">
        <v>1.0311713156517148</v>
      </c>
      <c r="F764" s="1100">
        <v>1.0232811867691729</v>
      </c>
      <c r="G764" s="1100">
        <v>1.0207223612778569</v>
      </c>
      <c r="H764" s="1100">
        <v>0.96119127239681024</v>
      </c>
      <c r="I764" s="1100">
        <v>1.0110135484974259</v>
      </c>
      <c r="K764">
        <v>1.3400408808317992</v>
      </c>
      <c r="L764">
        <v>0</v>
      </c>
      <c r="M764">
        <v>5.4441672349191746E-4</v>
      </c>
      <c r="N764">
        <v>5.4992373936600766E-2</v>
      </c>
      <c r="O764">
        <v>7.8123140579564373E-3</v>
      </c>
      <c r="P764">
        <v>1.6953971157193201E-2</v>
      </c>
      <c r="Q764">
        <v>4.6658567376185652E-4</v>
      </c>
      <c r="R764">
        <v>5.4274538099108034E-4</v>
      </c>
      <c r="S764">
        <v>6.0331411830574055E-2</v>
      </c>
      <c r="T764">
        <v>1.0554791494647835</v>
      </c>
      <c r="U764">
        <v>0</v>
      </c>
      <c r="V764">
        <v>9.897468953009772E-2</v>
      </c>
      <c r="W764">
        <v>3.5471121822668032E-2</v>
      </c>
      <c r="X764">
        <v>8.0837606895740721E-3</v>
      </c>
      <c r="Y764">
        <v>1.4771740110909619E-3</v>
      </c>
    </row>
    <row r="765" spans="1:25" x14ac:dyDescent="0.25">
      <c r="A765" s="1096"/>
      <c r="B765" s="1455">
        <v>515</v>
      </c>
      <c r="C765" s="1100">
        <v>1.0102590404363001</v>
      </c>
      <c r="D765" s="1100">
        <v>0.98798876923776491</v>
      </c>
      <c r="E765" s="1100">
        <v>0.99473295358955949</v>
      </c>
      <c r="F765" s="1100">
        <v>1.0116476594963388</v>
      </c>
      <c r="G765" s="1100">
        <v>0.99321641472170075</v>
      </c>
      <c r="H765" s="1100">
        <v>1.0216098580219743</v>
      </c>
      <c r="I765" s="1100">
        <v>0.98876363993992022</v>
      </c>
      <c r="K765">
        <v>1.3283644589082875</v>
      </c>
      <c r="L765">
        <v>0</v>
      </c>
      <c r="M765">
        <v>6.1742463488150673E-4</v>
      </c>
      <c r="N765">
        <v>5.5881594541561018E-2</v>
      </c>
      <c r="O765">
        <v>7.7190657590824512E-3</v>
      </c>
      <c r="P765">
        <v>1.6330799238456914E-2</v>
      </c>
      <c r="Q765">
        <v>4.4455196083367413E-4</v>
      </c>
      <c r="R765">
        <v>6.1564125978833125E-4</v>
      </c>
      <c r="S765">
        <v>6.0311063867592135E-2</v>
      </c>
      <c r="T765">
        <v>1.0445626123746239</v>
      </c>
      <c r="U765">
        <v>0</v>
      </c>
      <c r="V765">
        <v>9.7133622119780758E-2</v>
      </c>
      <c r="W765">
        <v>3.6825748871960218E-2</v>
      </c>
      <c r="X765">
        <v>7.4816109864327216E-3</v>
      </c>
      <c r="Y765">
        <v>1.6755725630570914E-3</v>
      </c>
    </row>
    <row r="766" spans="1:25" x14ac:dyDescent="0.25">
      <c r="A766" s="1096"/>
      <c r="B766" s="1455">
        <v>516</v>
      </c>
      <c r="C766" s="1100">
        <v>1.0132620523017102</v>
      </c>
      <c r="D766" s="1100">
        <v>0.98930434203851958</v>
      </c>
      <c r="E766" s="1100">
        <v>1.0272458821056301</v>
      </c>
      <c r="F766" s="1100">
        <v>0.99333146337516898</v>
      </c>
      <c r="G766" s="1100">
        <v>0.99425518722524087</v>
      </c>
      <c r="H766" s="1100">
        <v>1.020591883021827</v>
      </c>
      <c r="I766" s="1100">
        <v>0.96598566681543296</v>
      </c>
      <c r="K766">
        <v>1.3090064520944262</v>
      </c>
      <c r="L766">
        <v>0</v>
      </c>
      <c r="M766">
        <v>5.7450240624415535E-4</v>
      </c>
      <c r="N766">
        <v>5.7358946927269887E-2</v>
      </c>
      <c r="O766">
        <v>7.7000172336061483E-3</v>
      </c>
      <c r="P766">
        <v>1.6429277047437553E-2</v>
      </c>
      <c r="Q766">
        <v>4.5809668579924542E-4</v>
      </c>
      <c r="R766">
        <v>5.7284135297454601E-4</v>
      </c>
      <c r="S766">
        <v>5.8706296749190021E-2</v>
      </c>
      <c r="T766">
        <v>1.0246997290691029</v>
      </c>
      <c r="U766">
        <v>0</v>
      </c>
      <c r="V766">
        <v>9.7147384621920699E-2</v>
      </c>
      <c r="W766">
        <v>3.708205827183679E-2</v>
      </c>
      <c r="X766">
        <v>7.8672212158370849E-3</v>
      </c>
      <c r="Y766">
        <v>1.5590853256954574E-3</v>
      </c>
    </row>
    <row r="767" spans="1:25" x14ac:dyDescent="0.25">
      <c r="A767" s="1096"/>
      <c r="B767" s="1455">
        <v>517</v>
      </c>
      <c r="C767" s="1100">
        <v>0.98070709350212915</v>
      </c>
      <c r="D767" s="1100">
        <v>1.0044279963200828</v>
      </c>
      <c r="E767" s="1100">
        <v>0.9811428292004124</v>
      </c>
      <c r="F767" s="1100">
        <v>0.97457188050751764</v>
      </c>
      <c r="G767" s="1100">
        <v>0.99731878759495052</v>
      </c>
      <c r="H767" s="1100">
        <v>0.99536934291202006</v>
      </c>
      <c r="I767" s="1100">
        <v>0.99149307075910975</v>
      </c>
      <c r="K767">
        <v>1.2900800574594953</v>
      </c>
      <c r="L767">
        <v>0</v>
      </c>
      <c r="M767">
        <v>6.3318341429141373E-4</v>
      </c>
      <c r="N767">
        <v>5.4996344340472687E-2</v>
      </c>
      <c r="O767">
        <v>7.8959625466087143E-3</v>
      </c>
      <c r="P767">
        <v>1.5675603992528313E-2</v>
      </c>
      <c r="Q767">
        <v>4.4852882666544005E-4</v>
      </c>
      <c r="R767">
        <v>6.3130630703641972E-4</v>
      </c>
      <c r="S767">
        <v>6.0930447473960606E-2</v>
      </c>
      <c r="T767">
        <v>1.0066795313455237</v>
      </c>
      <c r="U767">
        <v>0</v>
      </c>
      <c r="V767">
        <v>9.805603379101803E-2</v>
      </c>
      <c r="W767">
        <v>3.6539124849141971E-2</v>
      </c>
      <c r="X767">
        <v>7.1421497431459436E-3</v>
      </c>
      <c r="Y767">
        <v>1.7182076576849508E-3</v>
      </c>
    </row>
    <row r="768" spans="1:25" x14ac:dyDescent="0.25">
      <c r="A768" s="1096"/>
      <c r="B768" s="1455">
        <v>518</v>
      </c>
      <c r="C768" s="1100">
        <v>1.0360303954163199</v>
      </c>
      <c r="D768" s="1100">
        <v>0.96337495065015888</v>
      </c>
      <c r="E768" s="1100">
        <v>0.9715228503932879</v>
      </c>
      <c r="F768" s="1100">
        <v>1.0102585736118874</v>
      </c>
      <c r="G768" s="1100">
        <v>1.0091761971317803</v>
      </c>
      <c r="H768" s="1100">
        <v>0.98706987042276861</v>
      </c>
      <c r="I768" s="1100">
        <v>1.0112806547186126</v>
      </c>
      <c r="K768">
        <v>1.3206094184076711</v>
      </c>
      <c r="L768">
        <v>0</v>
      </c>
      <c r="M768">
        <v>6.1651450587059257E-4</v>
      </c>
      <c r="N768">
        <v>5.2010664917643654E-2</v>
      </c>
      <c r="O768">
        <v>7.5978298150362325E-3</v>
      </c>
      <c r="P768">
        <v>1.6032844724516285E-2</v>
      </c>
      <c r="Q768">
        <v>4.2738546089336331E-4</v>
      </c>
      <c r="R768">
        <v>6.146714469377235E-4</v>
      </c>
      <c r="S768">
        <v>5.9901137865244432E-2</v>
      </c>
      <c r="T768">
        <v>1.0438380908154099</v>
      </c>
      <c r="U768">
        <v>0</v>
      </c>
      <c r="V768">
        <v>9.7270048613491991E-2</v>
      </c>
      <c r="W768">
        <v>3.4757360988044543E-2</v>
      </c>
      <c r="X768">
        <v>7.1029652141463544E-3</v>
      </c>
      <c r="Y768">
        <v>1.6729330521764575E-3</v>
      </c>
    </row>
    <row r="769" spans="1:25" x14ac:dyDescent="0.25">
      <c r="A769" s="1096"/>
      <c r="B769" s="1455">
        <v>519</v>
      </c>
      <c r="C769" s="1100">
        <v>1.0163164134129032</v>
      </c>
      <c r="D769" s="1100">
        <v>0.98493389485708971</v>
      </c>
      <c r="E769" s="1100">
        <v>0.96475531534466896</v>
      </c>
      <c r="F769" s="1100">
        <v>1.0134123203868284</v>
      </c>
      <c r="G769" s="1100">
        <v>1.0017088870011523</v>
      </c>
      <c r="H769" s="1100">
        <v>1.0096598251772277</v>
      </c>
      <c r="I769" s="1100">
        <v>0.98349857500853488</v>
      </c>
      <c r="K769">
        <v>1.3261498709308659</v>
      </c>
      <c r="L769">
        <v>0</v>
      </c>
      <c r="M769">
        <v>6.4615272315619236E-4</v>
      </c>
      <c r="N769">
        <v>5.3408813141029118E-2</v>
      </c>
      <c r="O769">
        <v>7.6753089404677389E-3</v>
      </c>
      <c r="P769">
        <v>1.5989711673418852E-2</v>
      </c>
      <c r="Q769">
        <v>4.287646135776835E-4</v>
      </c>
      <c r="R769">
        <v>6.4426427997924321E-4</v>
      </c>
      <c r="S769">
        <v>5.9347450067734842E-2</v>
      </c>
      <c r="T769">
        <v>1.0473073420574297</v>
      </c>
      <c r="U769">
        <v>0</v>
      </c>
      <c r="V769">
        <v>9.7365252379372311E-2</v>
      </c>
      <c r="W769">
        <v>3.5839240733459059E-2</v>
      </c>
      <c r="X769">
        <v>7.0364007791124993E-3</v>
      </c>
      <c r="Y769">
        <v>1.7534749884406836E-3</v>
      </c>
    </row>
    <row r="770" spans="1:25" x14ac:dyDescent="0.25">
      <c r="A770" s="1096"/>
      <c r="B770" s="1455">
        <v>520</v>
      </c>
      <c r="C770" s="1100">
        <v>0.98974069854545688</v>
      </c>
      <c r="D770" s="1100">
        <v>1.0189788757669878</v>
      </c>
      <c r="E770" s="1100">
        <v>1.0275261081558216</v>
      </c>
      <c r="F770" s="1100">
        <v>1.0009455310032422</v>
      </c>
      <c r="G770" s="1100">
        <v>0.98228883949135881</v>
      </c>
      <c r="H770" s="1100">
        <v>0.97287541299860447</v>
      </c>
      <c r="I770" s="1100">
        <v>0.99072674359311774</v>
      </c>
      <c r="K770">
        <v>1.3142194165854226</v>
      </c>
      <c r="L770">
        <v>0</v>
      </c>
      <c r="M770">
        <v>5.5374486781563045E-4</v>
      </c>
      <c r="N770">
        <v>5.5325354771300919E-2</v>
      </c>
      <c r="O770">
        <v>7.7904366715101222E-3</v>
      </c>
      <c r="P770">
        <v>1.6549119914237752E-2</v>
      </c>
      <c r="Q770">
        <v>4.6360461625874586E-4</v>
      </c>
      <c r="R770">
        <v>5.5206530479274955E-4</v>
      </c>
      <c r="S770">
        <v>5.9226216793317375E-2</v>
      </c>
      <c r="T770">
        <v>1.0325461192860383</v>
      </c>
      <c r="U770">
        <v>0</v>
      </c>
      <c r="V770">
        <v>9.7150216701800754E-2</v>
      </c>
      <c r="W770">
        <v>3.576152915266903E-2</v>
      </c>
      <c r="X770">
        <v>7.9059584699442704E-3</v>
      </c>
      <c r="Y770">
        <v>1.5025397713670497E-3</v>
      </c>
    </row>
    <row r="771" spans="1:25" x14ac:dyDescent="0.25">
      <c r="A771" s="1096"/>
      <c r="B771" s="1455">
        <v>521</v>
      </c>
      <c r="C771" s="1100">
        <v>1.028316660322103</v>
      </c>
      <c r="D771" s="1100">
        <v>0.99689826209383758</v>
      </c>
      <c r="E771" s="1100">
        <v>1.0460719949003807</v>
      </c>
      <c r="F771" s="1100">
        <v>0.97246773825421662</v>
      </c>
      <c r="G771" s="1100">
        <v>1.0287304060834446</v>
      </c>
      <c r="H771" s="1100">
        <v>1.0057035679218258</v>
      </c>
      <c r="I771" s="1100">
        <v>1.0221523016477665</v>
      </c>
      <c r="K771">
        <v>1.2881650033658825</v>
      </c>
      <c r="L771">
        <v>0</v>
      </c>
      <c r="M771">
        <v>5.3471502222016414E-4</v>
      </c>
      <c r="N771">
        <v>5.6499996480970559E-2</v>
      </c>
      <c r="O771">
        <v>7.5686412309957365E-3</v>
      </c>
      <c r="P771">
        <v>1.6387656912759029E-2</v>
      </c>
      <c r="Q771">
        <v>4.5870936236234896E-4</v>
      </c>
      <c r="R771">
        <v>5.3314611878911274E-4</v>
      </c>
      <c r="S771">
        <v>6.0526144999796222E-2</v>
      </c>
      <c r="T771">
        <v>1.0026520999242852</v>
      </c>
      <c r="U771">
        <v>0</v>
      </c>
      <c r="V771">
        <v>9.8478544079691768E-2</v>
      </c>
      <c r="W771">
        <v>3.6131811153944794E-2</v>
      </c>
      <c r="X771">
        <v>8.0119201407347698E-3</v>
      </c>
      <c r="Y771">
        <v>1.4510479837731402E-3</v>
      </c>
    </row>
    <row r="772" spans="1:25" x14ac:dyDescent="0.25">
      <c r="A772" s="1096"/>
      <c r="B772" s="1455">
        <v>522</v>
      </c>
      <c r="C772" s="1100">
        <v>0.97057903965045655</v>
      </c>
      <c r="D772" s="1100">
        <v>1.0143553032536226</v>
      </c>
      <c r="E772" s="1100">
        <v>1.0111158264112101</v>
      </c>
      <c r="F772" s="1100">
        <v>0.98319776692749061</v>
      </c>
      <c r="G772" s="1100">
        <v>1.0068871567333018</v>
      </c>
      <c r="H772" s="1100">
        <v>0.97133232366655642</v>
      </c>
      <c r="I772" s="1100">
        <v>0.97190875854931613</v>
      </c>
      <c r="K772">
        <v>1.2984529979183221</v>
      </c>
      <c r="L772">
        <v>0</v>
      </c>
      <c r="M772">
        <v>5.8442393406149269E-4</v>
      </c>
      <c r="N772">
        <v>5.5569823022766182E-2</v>
      </c>
      <c r="O772">
        <v>7.9545650059571933E-3</v>
      </c>
      <c r="P772">
        <v>1.6130223197298191E-2</v>
      </c>
      <c r="Q772">
        <v>4.6570890337072166E-4</v>
      </c>
      <c r="R772">
        <v>5.8264850235899583E-4</v>
      </c>
      <c r="S772">
        <v>5.9330724027278008E-2</v>
      </c>
      <c r="T772">
        <v>1.014709031665473</v>
      </c>
      <c r="U772">
        <v>0</v>
      </c>
      <c r="V772">
        <v>9.8816304763737747E-2</v>
      </c>
      <c r="W772">
        <v>3.6266259276548862E-2</v>
      </c>
      <c r="X772">
        <v>7.6263563342005621E-3</v>
      </c>
      <c r="Y772">
        <v>1.5857771533940037E-3</v>
      </c>
    </row>
    <row r="773" spans="1:25" x14ac:dyDescent="0.25">
      <c r="A773" s="1096"/>
      <c r="B773" s="1455">
        <v>523</v>
      </c>
      <c r="C773" s="1100">
        <v>1.0425907065841722</v>
      </c>
      <c r="D773" s="1100">
        <v>1.0036976317698916</v>
      </c>
      <c r="E773" s="1100">
        <v>0.97801741917093998</v>
      </c>
      <c r="F773" s="1100">
        <v>1.0048963856768336</v>
      </c>
      <c r="G773" s="1100">
        <v>1.0306039125529549</v>
      </c>
      <c r="H773" s="1100">
        <v>1.0167645387283062</v>
      </c>
      <c r="I773" s="1100">
        <v>0.99392722025100122</v>
      </c>
      <c r="K773">
        <v>1.314811591624061</v>
      </c>
      <c r="L773">
        <v>0</v>
      </c>
      <c r="M773">
        <v>6.1252526748053061E-4</v>
      </c>
      <c r="N773">
        <v>5.2704593837941016E-2</v>
      </c>
      <c r="O773">
        <v>7.4287218458172505E-3</v>
      </c>
      <c r="P773">
        <v>1.602328121383343E-2</v>
      </c>
      <c r="Q773">
        <v>4.2064860127324872E-4</v>
      </c>
      <c r="R773">
        <v>6.1074761265587734E-4</v>
      </c>
      <c r="S773">
        <v>5.8095804680091623E-2</v>
      </c>
      <c r="T773">
        <v>1.0380984894204162</v>
      </c>
      <c r="U773">
        <v>0</v>
      </c>
      <c r="V773">
        <v>9.8163140890471789E-2</v>
      </c>
      <c r="W773">
        <v>3.5082671862338058E-2</v>
      </c>
      <c r="X773">
        <v>7.1337632579493524E-3</v>
      </c>
      <c r="Y773">
        <v>1.6622536687528955E-3</v>
      </c>
    </row>
    <row r="774" spans="1:25" x14ac:dyDescent="0.25">
      <c r="A774" s="1096"/>
      <c r="B774" s="1455">
        <v>524</v>
      </c>
      <c r="C774" s="1100">
        <v>0.96521822405706015</v>
      </c>
      <c r="D774" s="1100">
        <v>0.9918321810203089</v>
      </c>
      <c r="E774" s="1100">
        <v>0.97775470134413922</v>
      </c>
      <c r="F774" s="1100">
        <v>1.0052496534546973</v>
      </c>
      <c r="G774" s="1100">
        <v>1.0223097130969736</v>
      </c>
      <c r="H774" s="1100">
        <v>1.0149258314739271</v>
      </c>
      <c r="I774" s="1100">
        <v>1.0108288475133962</v>
      </c>
      <c r="K774">
        <v>1.3311384586282813</v>
      </c>
      <c r="L774">
        <v>0</v>
      </c>
      <c r="M774">
        <v>6.6393870913699076E-4</v>
      </c>
      <c r="N774">
        <v>5.7082750311060103E-2</v>
      </c>
      <c r="O774">
        <v>8.0624069843870626E-3</v>
      </c>
      <c r="P774">
        <v>1.612674811316258E-2</v>
      </c>
      <c r="Q774">
        <v>4.5640875295550393E-4</v>
      </c>
      <c r="R774">
        <v>6.6200835272746384E-4</v>
      </c>
      <c r="S774">
        <v>6.4168200982200566E-2</v>
      </c>
      <c r="T774">
        <v>1.038471464729114</v>
      </c>
      <c r="U774">
        <v>0</v>
      </c>
      <c r="V774">
        <v>9.9666437754111978E-2</v>
      </c>
      <c r="W774">
        <v>3.8003018250932018E-2</v>
      </c>
      <c r="X774">
        <v>7.3011846016363775E-3</v>
      </c>
      <c r="Y774">
        <v>1.8017685051293308E-3</v>
      </c>
    </row>
    <row r="775" spans="1:25" x14ac:dyDescent="0.25">
      <c r="A775" s="1096"/>
      <c r="B775" s="1455">
        <v>525</v>
      </c>
      <c r="C775" s="1100">
        <v>1.0258378935337187</v>
      </c>
      <c r="D775" s="1100">
        <v>0.99880561654090283</v>
      </c>
      <c r="E775" s="1100">
        <v>1.0363885402099653</v>
      </c>
      <c r="F775" s="1100">
        <v>0.98323843841072822</v>
      </c>
      <c r="G775" s="1100">
        <v>0.99723226498049788</v>
      </c>
      <c r="H775" s="1100">
        <v>0.99255889194072489</v>
      </c>
      <c r="I775" s="1100">
        <v>0.96360926577430972</v>
      </c>
      <c r="K775">
        <v>1.2924776071114517</v>
      </c>
      <c r="L775">
        <v>0</v>
      </c>
      <c r="M775">
        <v>5.3938957353829719E-4</v>
      </c>
      <c r="N775">
        <v>5.5353410432648534E-2</v>
      </c>
      <c r="O775">
        <v>7.5787984822598973E-3</v>
      </c>
      <c r="P775">
        <v>1.6359678588400643E-2</v>
      </c>
      <c r="Q775">
        <v>4.5497509246325498E-4</v>
      </c>
      <c r="R775">
        <v>5.3778599556855147E-4</v>
      </c>
      <c r="S775">
        <v>5.675245623379168E-2</v>
      </c>
      <c r="T775">
        <v>1.0140288876304624</v>
      </c>
      <c r="U775">
        <v>0</v>
      </c>
      <c r="V775">
        <v>9.7001691212320357E-2</v>
      </c>
      <c r="W775">
        <v>3.5596351253267183E-2</v>
      </c>
      <c r="X775">
        <v>7.8892855649757287E-3</v>
      </c>
      <c r="Y775">
        <v>1.4636761988318027E-3</v>
      </c>
    </row>
    <row r="776" spans="1:25" x14ac:dyDescent="0.25">
      <c r="A776" s="1096"/>
      <c r="B776" s="1455">
        <v>526</v>
      </c>
      <c r="C776" s="1100">
        <v>0.98429683266299273</v>
      </c>
      <c r="D776" s="1100">
        <v>1.0277760800321301</v>
      </c>
      <c r="E776" s="1100">
        <v>0.99520967818116135</v>
      </c>
      <c r="F776" s="1100">
        <v>0.99341658368917285</v>
      </c>
      <c r="G776" s="1100">
        <v>0.9963608669333418</v>
      </c>
      <c r="H776" s="1100">
        <v>0.98894534422966396</v>
      </c>
      <c r="I776" s="1100">
        <v>0.97084527200219173</v>
      </c>
      <c r="K776">
        <v>1.3062385206788167</v>
      </c>
      <c r="L776">
        <v>0</v>
      </c>
      <c r="M776">
        <v>6.03239958878801E-4</v>
      </c>
      <c r="N776">
        <v>5.4671265023621227E-2</v>
      </c>
      <c r="O776">
        <v>7.7986484393181019E-3</v>
      </c>
      <c r="P776">
        <v>1.6067381502174651E-2</v>
      </c>
      <c r="Q776">
        <v>4.4935111529211251E-4</v>
      </c>
      <c r="R776">
        <v>6.0144000395260936E-4</v>
      </c>
      <c r="S776">
        <v>5.8537997347279332E-2</v>
      </c>
      <c r="T776">
        <v>1.0257242032122793</v>
      </c>
      <c r="U776">
        <v>0</v>
      </c>
      <c r="V776">
        <v>9.7933259448085716E-2</v>
      </c>
      <c r="W776">
        <v>3.6017899176940288E-2</v>
      </c>
      <c r="X776">
        <v>7.4033939426353737E-3</v>
      </c>
      <c r="Y776">
        <v>1.6369214261149844E-3</v>
      </c>
    </row>
    <row r="777" spans="1:25" x14ac:dyDescent="0.25">
      <c r="A777" s="1096"/>
      <c r="B777" s="1455">
        <v>527</v>
      </c>
      <c r="C777" s="1100">
        <v>1.0011582160157022</v>
      </c>
      <c r="D777" s="1100">
        <v>1.0396715262696952</v>
      </c>
      <c r="E777" s="1100">
        <v>0.98171504838117984</v>
      </c>
      <c r="F777" s="1100">
        <v>1.0060296310097228</v>
      </c>
      <c r="G777" s="1100">
        <v>0.99511949152393064</v>
      </c>
      <c r="H777" s="1100">
        <v>1.0164403739059509</v>
      </c>
      <c r="I777" s="1100">
        <v>1.0056474091229197</v>
      </c>
      <c r="K777">
        <v>1.3201025411753244</v>
      </c>
      <c r="L777">
        <v>0</v>
      </c>
      <c r="M777">
        <v>6.2396302636749321E-4</v>
      </c>
      <c r="N777">
        <v>5.4292738666546859E-2</v>
      </c>
      <c r="O777">
        <v>7.6288413727549778E-3</v>
      </c>
      <c r="P777">
        <v>1.6099295422426899E-2</v>
      </c>
      <c r="Q777">
        <v>4.3360696647840063E-4</v>
      </c>
      <c r="R777">
        <v>6.2215159965891371E-4</v>
      </c>
      <c r="S777">
        <v>6.0065715336527131E-2</v>
      </c>
      <c r="T777">
        <v>1.0391562154435754</v>
      </c>
      <c r="U777">
        <v>0</v>
      </c>
      <c r="V777">
        <v>9.7434230341934089E-2</v>
      </c>
      <c r="W777">
        <v>3.6059207750753955E-2</v>
      </c>
      <c r="X777">
        <v>7.2412097389846792E-3</v>
      </c>
      <c r="Y777">
        <v>1.6932915620518556E-3</v>
      </c>
    </row>
    <row r="778" spans="1:25" x14ac:dyDescent="0.25">
      <c r="A778" s="1096"/>
      <c r="B778" s="1455">
        <v>528</v>
      </c>
      <c r="C778" s="1100">
        <v>1.0040343508297054</v>
      </c>
      <c r="D778" s="1100">
        <v>1.0245870748409702</v>
      </c>
      <c r="E778" s="1100">
        <v>1.0094556121581217</v>
      </c>
      <c r="F778" s="1100">
        <v>1.0014441457862779</v>
      </c>
      <c r="G778" s="1100">
        <v>0.99945778195018564</v>
      </c>
      <c r="H778" s="1100">
        <v>0.99279988353361415</v>
      </c>
      <c r="I778" s="1100">
        <v>0.97609167585106305</v>
      </c>
      <c r="K778">
        <v>1.3130054976676553</v>
      </c>
      <c r="L778">
        <v>0</v>
      </c>
      <c r="M778">
        <v>5.7711012121584014E-4</v>
      </c>
      <c r="N778">
        <v>5.4603641654440385E-2</v>
      </c>
      <c r="O778">
        <v>7.6583010215803844E-3</v>
      </c>
      <c r="P778">
        <v>1.6333715018798146E-2</v>
      </c>
      <c r="Q778">
        <v>4.476204202612212E-4</v>
      </c>
      <c r="R778">
        <v>5.7539481843482882E-4</v>
      </c>
      <c r="S778">
        <v>5.7920229697551284E-2</v>
      </c>
      <c r="T778">
        <v>1.0335891818176821</v>
      </c>
      <c r="U778">
        <v>0</v>
      </c>
      <c r="V778">
        <v>9.7604038549450961E-2</v>
      </c>
      <c r="W778">
        <v>3.5670601277456096E-2</v>
      </c>
      <c r="X778">
        <v>7.6138484962871341E-3</v>
      </c>
      <c r="Y778">
        <v>1.5660350169286838E-3</v>
      </c>
    </row>
    <row r="779" spans="1:25" x14ac:dyDescent="0.25">
      <c r="A779" s="1096"/>
      <c r="B779" s="1455">
        <v>529</v>
      </c>
      <c r="C779" s="1100">
        <v>0.99705793295601186</v>
      </c>
      <c r="D779" s="1100">
        <v>1.0036841866615474</v>
      </c>
      <c r="E779" s="1100">
        <v>1.0080451032381144</v>
      </c>
      <c r="F779" s="1100">
        <v>1.027186531537597</v>
      </c>
      <c r="G779" s="1100">
        <v>1.0183092334335204</v>
      </c>
      <c r="H779" s="1100">
        <v>1.0057413178229342</v>
      </c>
      <c r="I779" s="1100">
        <v>0.96240242263190701</v>
      </c>
      <c r="K779">
        <v>1.3444895681027647</v>
      </c>
      <c r="L779">
        <v>0</v>
      </c>
      <c r="M779">
        <v>5.9533929254941434E-4</v>
      </c>
      <c r="N779">
        <v>5.6091181345872952E-2</v>
      </c>
      <c r="O779">
        <v>7.7753855615844986E-3</v>
      </c>
      <c r="P779">
        <v>1.6704990279500519E-2</v>
      </c>
      <c r="Q779">
        <v>4.538231165066547E-4</v>
      </c>
      <c r="R779">
        <v>5.9359257745510445E-4</v>
      </c>
      <c r="S779">
        <v>5.8526497937677266E-2</v>
      </c>
      <c r="T779">
        <v>1.0602006122347158</v>
      </c>
      <c r="U779">
        <v>0</v>
      </c>
      <c r="V779">
        <v>9.8687216258042734E-2</v>
      </c>
      <c r="W779">
        <v>3.6672877392680464E-2</v>
      </c>
      <c r="X779">
        <v>7.7631673731842132E-3</v>
      </c>
      <c r="Y779">
        <v>1.6155633180922259E-3</v>
      </c>
    </row>
    <row r="780" spans="1:25" x14ac:dyDescent="0.25">
      <c r="A780" s="1096"/>
      <c r="B780" s="1455">
        <v>530</v>
      </c>
      <c r="C780" s="1100">
        <v>1.0461605014651874</v>
      </c>
      <c r="D780" s="1100">
        <v>1.0144163349952622</v>
      </c>
      <c r="E780" s="1100">
        <v>1.0191321762117223</v>
      </c>
      <c r="F780" s="1100">
        <v>1.0306701919909393</v>
      </c>
      <c r="G780" s="1100">
        <v>1.0092932673552508</v>
      </c>
      <c r="H780" s="1100">
        <v>0.9722327075270758</v>
      </c>
      <c r="I780" s="1100">
        <v>0.96050088856086158</v>
      </c>
      <c r="K780">
        <v>1.3346173572573823</v>
      </c>
      <c r="L780">
        <v>0</v>
      </c>
      <c r="M780">
        <v>5.337207971074959E-4</v>
      </c>
      <c r="N780">
        <v>5.199156984663595E-2</v>
      </c>
      <c r="O780">
        <v>7.381572307168207E-3</v>
      </c>
      <c r="P780">
        <v>1.6808424432324481E-2</v>
      </c>
      <c r="Q780">
        <v>4.3562958355532026E-4</v>
      </c>
      <c r="R780">
        <v>5.3210089892945451E-4</v>
      </c>
      <c r="S780">
        <v>5.442859009502117E-2</v>
      </c>
      <c r="T780">
        <v>1.0634607263809586</v>
      </c>
      <c r="U780">
        <v>0</v>
      </c>
      <c r="V780">
        <v>9.7096512277595318E-2</v>
      </c>
      <c r="W780">
        <v>3.3771629046610886E-2</v>
      </c>
      <c r="X780">
        <v>7.7961199458179324E-3</v>
      </c>
      <c r="Y780">
        <v>1.4482032398717849E-3</v>
      </c>
    </row>
    <row r="781" spans="1:25" x14ac:dyDescent="0.25">
      <c r="A781" s="1096"/>
      <c r="B781" s="1455">
        <v>531</v>
      </c>
      <c r="C781" s="1100">
        <v>1.0208535501839575</v>
      </c>
      <c r="D781" s="1100">
        <v>1.0125718634039682</v>
      </c>
      <c r="E781" s="1100">
        <v>1.0319905749892304</v>
      </c>
      <c r="F781" s="1100">
        <v>0.95937189217521179</v>
      </c>
      <c r="G781" s="1100">
        <v>1.0038591859123318</v>
      </c>
      <c r="H781" s="1100">
        <v>0.97137256085064994</v>
      </c>
      <c r="I781" s="1100">
        <v>0.96547461511829036</v>
      </c>
      <c r="K781">
        <v>1.2648746715318619</v>
      </c>
      <c r="L781">
        <v>0</v>
      </c>
      <c r="M781">
        <v>5.3241704676611874E-4</v>
      </c>
      <c r="N781">
        <v>5.3914978957523056E-2</v>
      </c>
      <c r="O781">
        <v>7.5731586122740006E-3</v>
      </c>
      <c r="P781">
        <v>1.5962741099501628E-2</v>
      </c>
      <c r="Q781">
        <v>4.5266845522810883E-4</v>
      </c>
      <c r="R781">
        <v>5.3079967469638186E-4</v>
      </c>
      <c r="S781">
        <v>5.6108567157401812E-2</v>
      </c>
      <c r="T781">
        <v>0.98953626409090056</v>
      </c>
      <c r="U781">
        <v>0</v>
      </c>
      <c r="V781">
        <v>9.7435440859061681E-2</v>
      </c>
      <c r="W781">
        <v>3.4759667930240469E-2</v>
      </c>
      <c r="X781">
        <v>7.688140005341044E-3</v>
      </c>
      <c r="Y781">
        <v>1.4446617364578141E-3</v>
      </c>
    </row>
    <row r="782" spans="1:25" x14ac:dyDescent="0.25">
      <c r="A782" s="1096"/>
      <c r="B782" s="1455">
        <v>532</v>
      </c>
      <c r="C782" s="1100">
        <v>1.0067269456799415</v>
      </c>
      <c r="D782" s="1100">
        <v>1.0228035364270815</v>
      </c>
      <c r="E782" s="1100">
        <v>0.97187058150398942</v>
      </c>
      <c r="F782" s="1100">
        <v>0.97797088190898174</v>
      </c>
      <c r="G782" s="1100">
        <v>1.0092426052865227</v>
      </c>
      <c r="H782" s="1100">
        <v>0.97280926579194715</v>
      </c>
      <c r="I782" s="1100">
        <v>1.042960541603382</v>
      </c>
      <c r="K782">
        <v>1.2877946037427725</v>
      </c>
      <c r="L782">
        <v>0</v>
      </c>
      <c r="M782">
        <v>6.100610559177282E-4</v>
      </c>
      <c r="N782">
        <v>5.1518181675139739E-2</v>
      </c>
      <c r="O782">
        <v>7.63407417652316E-3</v>
      </c>
      <c r="P782">
        <v>1.5617122746238631E-2</v>
      </c>
      <c r="Q782">
        <v>4.2957674562397915E-4</v>
      </c>
      <c r="R782">
        <v>6.0821055450092692E-4</v>
      </c>
      <c r="S782">
        <v>6.111650541456181E-2</v>
      </c>
      <c r="T782">
        <v>1.0104667932701352</v>
      </c>
      <c r="U782">
        <v>0</v>
      </c>
      <c r="V782">
        <v>9.796960940121438E-2</v>
      </c>
      <c r="W782">
        <v>3.4420971535485657E-2</v>
      </c>
      <c r="X782">
        <v>6.9682706464701399E-3</v>
      </c>
      <c r="Y782">
        <v>1.6553486327961159E-3</v>
      </c>
    </row>
    <row r="783" spans="1:25" x14ac:dyDescent="0.25">
      <c r="A783" s="1096"/>
      <c r="B783" s="1455">
        <v>533</v>
      </c>
      <c r="C783" s="1100">
        <v>0.97560213822104036</v>
      </c>
      <c r="D783" s="1100">
        <v>1.0169309388211516</v>
      </c>
      <c r="E783" s="1100">
        <v>1.0104210408462044</v>
      </c>
      <c r="F783" s="1100">
        <v>0.98778559868970262</v>
      </c>
      <c r="G783" s="1100">
        <v>0.98483098237833921</v>
      </c>
      <c r="H783" s="1100">
        <v>0.97948333355133799</v>
      </c>
      <c r="I783" s="1100">
        <v>0.97468210656238752</v>
      </c>
      <c r="K783">
        <v>1.302187444056965</v>
      </c>
      <c r="L783">
        <v>0</v>
      </c>
      <c r="M783">
        <v>5.8654558235382993E-4</v>
      </c>
      <c r="N783">
        <v>5.5656115979577071E-2</v>
      </c>
      <c r="O783">
        <v>7.9054118821791503E-3</v>
      </c>
      <c r="P783">
        <v>1.6171202828680779E-2</v>
      </c>
      <c r="Q783">
        <v>4.6250997431431602E-4</v>
      </c>
      <c r="R783">
        <v>5.8477853358446122E-4</v>
      </c>
      <c r="S783">
        <v>5.9359358980505164E-2</v>
      </c>
      <c r="T783">
        <v>1.0194641102881008</v>
      </c>
      <c r="U783">
        <v>0</v>
      </c>
      <c r="V783">
        <v>9.761694327903063E-2</v>
      </c>
      <c r="W783">
        <v>3.6337451565263634E-2</v>
      </c>
      <c r="X783">
        <v>7.6245319318562366E-3</v>
      </c>
      <c r="Y783">
        <v>1.591574396225116E-3</v>
      </c>
    </row>
    <row r="784" spans="1:25" x14ac:dyDescent="0.25">
      <c r="A784" s="1096"/>
      <c r="B784" s="1455">
        <v>534</v>
      </c>
      <c r="C784" s="1100">
        <v>1.0292750717421209</v>
      </c>
      <c r="D784" s="1100">
        <v>1.0112010027775198</v>
      </c>
      <c r="E784" s="1100">
        <v>1.0181597063776731</v>
      </c>
      <c r="F784" s="1100">
        <v>0.99668372413572826</v>
      </c>
      <c r="G784" s="1100">
        <v>1.0035860189272892</v>
      </c>
      <c r="H784" s="1100">
        <v>0.97077077054478955</v>
      </c>
      <c r="I784" s="1100">
        <v>0.99945420832162746</v>
      </c>
      <c r="K784">
        <v>1.3037876187124118</v>
      </c>
      <c r="L784">
        <v>0</v>
      </c>
      <c r="M784">
        <v>5.4344739998034546E-4</v>
      </c>
      <c r="N784">
        <v>5.2783732739990978E-2</v>
      </c>
      <c r="O784">
        <v>7.5119701354919551E-3</v>
      </c>
      <c r="P784">
        <v>1.6357744279793061E-2</v>
      </c>
      <c r="Q784">
        <v>4.4289641118547588E-4</v>
      </c>
      <c r="R784">
        <v>5.4179549659882779E-4</v>
      </c>
      <c r="S784">
        <v>5.7619387944786708E-2</v>
      </c>
      <c r="T784">
        <v>1.0284212995595163</v>
      </c>
      <c r="U784">
        <v>0</v>
      </c>
      <c r="V784">
        <v>9.7208043130035185E-2</v>
      </c>
      <c r="W784">
        <v>3.4305719495458374E-2</v>
      </c>
      <c r="X784">
        <v>7.6638881806295042E-3</v>
      </c>
      <c r="Y784">
        <v>1.4745887389045558E-3</v>
      </c>
    </row>
    <row r="785" spans="1:25" x14ac:dyDescent="0.25">
      <c r="A785" s="1096"/>
      <c r="B785" s="1455">
        <v>535</v>
      </c>
      <c r="C785" s="1100">
        <v>1.0268459069839968</v>
      </c>
      <c r="D785" s="1100">
        <v>1.0021022952008602</v>
      </c>
      <c r="E785" s="1100">
        <v>1.0099921868420132</v>
      </c>
      <c r="F785" s="1100">
        <v>0.99326271548886025</v>
      </c>
      <c r="G785" s="1100">
        <v>0.97288804665985751</v>
      </c>
      <c r="H785" s="1100">
        <v>1.0101314806454957</v>
      </c>
      <c r="I785" s="1100">
        <v>1.0229820831777263</v>
      </c>
      <c r="K785">
        <v>1.3055100299947739</v>
      </c>
      <c r="L785">
        <v>0</v>
      </c>
      <c r="M785">
        <v>5.7861381346682348E-4</v>
      </c>
      <c r="N785">
        <v>5.4837476737035838E-2</v>
      </c>
      <c r="O785">
        <v>7.5550585281992351E-3</v>
      </c>
      <c r="P785">
        <v>1.6235490443521884E-2</v>
      </c>
      <c r="Q785">
        <v>4.4182295252245455E-4</v>
      </c>
      <c r="R785">
        <v>5.7692354881283157E-4</v>
      </c>
      <c r="S785">
        <v>6.0592285099199381E-2</v>
      </c>
      <c r="T785">
        <v>1.0251294290093305</v>
      </c>
      <c r="U785">
        <v>0</v>
      </c>
      <c r="V785">
        <v>9.5770760148501E-2</v>
      </c>
      <c r="W785">
        <v>3.5812021981139391E-2</v>
      </c>
      <c r="X785">
        <v>7.5671796429048E-3</v>
      </c>
      <c r="Y785">
        <v>1.5701957170717741E-3</v>
      </c>
    </row>
    <row r="786" spans="1:25" x14ac:dyDescent="0.25">
      <c r="A786" s="1096"/>
      <c r="B786" s="1455">
        <v>536</v>
      </c>
      <c r="C786" s="1100">
        <v>1.0032316260699483</v>
      </c>
      <c r="D786" s="1100">
        <v>0.97634091446805604</v>
      </c>
      <c r="E786" s="1100">
        <v>1.0162853790603108</v>
      </c>
      <c r="F786" s="1100">
        <v>0.96851879538114394</v>
      </c>
      <c r="G786" s="1100">
        <v>1.0115765708582565</v>
      </c>
      <c r="H786" s="1100">
        <v>1.012188502627978</v>
      </c>
      <c r="I786" s="1100">
        <v>0.96717889611050678</v>
      </c>
      <c r="K786">
        <v>1.2849921217696736</v>
      </c>
      <c r="L786">
        <v>0</v>
      </c>
      <c r="M786">
        <v>5.918611513345927E-4</v>
      </c>
      <c r="N786">
        <v>5.7168974920917742E-2</v>
      </c>
      <c r="O786">
        <v>7.8154267398623557E-3</v>
      </c>
      <c r="P786">
        <v>1.5975078119581772E-2</v>
      </c>
      <c r="Q786">
        <v>4.5992871307305787E-4</v>
      </c>
      <c r="R786">
        <v>5.9013570183420543E-4</v>
      </c>
      <c r="S786">
        <v>5.9526835792268973E-2</v>
      </c>
      <c r="T786">
        <v>0.99941261404281345</v>
      </c>
      <c r="U786">
        <v>0</v>
      </c>
      <c r="V786">
        <v>9.8217774974865252E-2</v>
      </c>
      <c r="W786">
        <v>3.7196674871617673E-2</v>
      </c>
      <c r="X786">
        <v>7.6143842019628111E-3</v>
      </c>
      <c r="Y786">
        <v>1.6061548422108807E-3</v>
      </c>
    </row>
    <row r="787" spans="1:25" x14ac:dyDescent="0.25">
      <c r="A787" s="1096"/>
      <c r="B787" s="1455">
        <v>537</v>
      </c>
      <c r="C787" s="1100">
        <v>1.0131238923681389</v>
      </c>
      <c r="D787" s="1100">
        <v>0.97475555809467096</v>
      </c>
      <c r="E787" s="1100">
        <v>1.0312417131220513</v>
      </c>
      <c r="F787" s="1100">
        <v>0.98859421645408363</v>
      </c>
      <c r="G787" s="1100">
        <v>1.0030728256123662</v>
      </c>
      <c r="H787" s="1100">
        <v>1.0226142114192087</v>
      </c>
      <c r="I787" s="1100">
        <v>0.99481473880225513</v>
      </c>
      <c r="K787">
        <v>1.3079118930674645</v>
      </c>
      <c r="L787">
        <v>0</v>
      </c>
      <c r="M787">
        <v>5.7433958222706939E-4</v>
      </c>
      <c r="N787">
        <v>5.8037973124410294E-2</v>
      </c>
      <c r="O787">
        <v>7.7478226118193752E-3</v>
      </c>
      <c r="P787">
        <v>1.6445557308075176E-2</v>
      </c>
      <c r="Q787">
        <v>4.6276614845049515E-4</v>
      </c>
      <c r="R787">
        <v>5.7268228370752799E-4</v>
      </c>
      <c r="S787">
        <v>6.1013412773121452E-2</v>
      </c>
      <c r="T787">
        <v>1.0196987323009128</v>
      </c>
      <c r="U787">
        <v>0</v>
      </c>
      <c r="V787">
        <v>9.7581863135422608E-2</v>
      </c>
      <c r="W787">
        <v>3.7434062641312119E-2</v>
      </c>
      <c r="X787">
        <v>7.9327079308713095E-3</v>
      </c>
      <c r="Y787">
        <v>1.5586523915878041E-3</v>
      </c>
    </row>
    <row r="788" spans="1:25" x14ac:dyDescent="0.25">
      <c r="A788" s="1096"/>
      <c r="B788" s="1455">
        <v>538</v>
      </c>
      <c r="C788" s="1100">
        <v>0.97092433321555982</v>
      </c>
      <c r="D788" s="1100">
        <v>0.97632853786074814</v>
      </c>
      <c r="E788" s="1100">
        <v>0.98988207321746979</v>
      </c>
      <c r="F788" s="1100">
        <v>0.96217638369053804</v>
      </c>
      <c r="G788" s="1100">
        <v>0.97465774534570448</v>
      </c>
      <c r="H788" s="1100">
        <v>0.97140768028440738</v>
      </c>
      <c r="I788" s="1100">
        <v>0.98467900799277142</v>
      </c>
      <c r="K788">
        <v>1.2770415814815803</v>
      </c>
      <c r="L788">
        <v>0</v>
      </c>
      <c r="M788">
        <v>6.199760328096575E-4</v>
      </c>
      <c r="N788">
        <v>5.528741586388692E-2</v>
      </c>
      <c r="O788">
        <v>8.068781397608563E-3</v>
      </c>
      <c r="P788">
        <v>1.5596751075755729E-2</v>
      </c>
      <c r="Q788">
        <v>4.6242262206242846E-4</v>
      </c>
      <c r="R788">
        <v>6.18092742870765E-4</v>
      </c>
      <c r="S788">
        <v>6.1319409772250727E-2</v>
      </c>
      <c r="T788">
        <v>0.99362173665090125</v>
      </c>
      <c r="U788">
        <v>0</v>
      </c>
      <c r="V788">
        <v>9.7224168178252232E-2</v>
      </c>
      <c r="W788">
        <v>3.6540024686643864E-2</v>
      </c>
      <c r="X788">
        <v>7.2405098322798527E-3</v>
      </c>
      <c r="Y788">
        <v>1.6822446918762955E-3</v>
      </c>
    </row>
    <row r="789" spans="1:25" x14ac:dyDescent="0.25">
      <c r="A789" s="1096"/>
      <c r="B789" s="1455">
        <v>539</v>
      </c>
      <c r="C789" s="1100">
        <v>0.97639947613221001</v>
      </c>
      <c r="D789" s="1100">
        <v>0.97877695441635559</v>
      </c>
      <c r="E789" s="1100">
        <v>1.0237523010422225</v>
      </c>
      <c r="F789" s="1100">
        <v>0.96460975032705754</v>
      </c>
      <c r="G789" s="1100">
        <v>1.0173243164395385</v>
      </c>
      <c r="H789" s="1100">
        <v>0.95917002761253234</v>
      </c>
      <c r="I789" s="1100">
        <v>1.0387169668301115</v>
      </c>
      <c r="K789">
        <v>1.2843505138268863</v>
      </c>
      <c r="L789">
        <v>0</v>
      </c>
      <c r="M789">
        <v>5.6682308978393977E-4</v>
      </c>
      <c r="N789">
        <v>5.5988760404342294E-2</v>
      </c>
      <c r="O789">
        <v>8.0240990217335384E-3</v>
      </c>
      <c r="P789">
        <v>1.6077548244150339E-2</v>
      </c>
      <c r="Q789">
        <v>4.7572714063582298E-4</v>
      </c>
      <c r="R789">
        <v>5.6507929348288048E-4</v>
      </c>
      <c r="S789">
        <v>6.3869067437783714E-2</v>
      </c>
      <c r="T789">
        <v>0.99516877349205146</v>
      </c>
      <c r="U789">
        <v>0</v>
      </c>
      <c r="V789">
        <v>9.9183412615803865E-2</v>
      </c>
      <c r="W789">
        <v>3.6269983272143189E-2</v>
      </c>
      <c r="X789">
        <v>7.7569264360208027E-3</v>
      </c>
      <c r="Y789">
        <v>1.5379595585213676E-3</v>
      </c>
    </row>
    <row r="790" spans="1:25" x14ac:dyDescent="0.25">
      <c r="A790" s="1096"/>
      <c r="B790" s="1455">
        <v>540</v>
      </c>
      <c r="C790" s="1100">
        <v>0.95883435832500552</v>
      </c>
      <c r="D790" s="1100">
        <v>0.99646452060987045</v>
      </c>
      <c r="E790" s="1100">
        <v>1.0050122057379636</v>
      </c>
      <c r="F790" s="1100">
        <v>0.98750654563945484</v>
      </c>
      <c r="G790" s="1100">
        <v>0.98191168448344779</v>
      </c>
      <c r="H790" s="1100">
        <v>0.98658018319820717</v>
      </c>
      <c r="I790" s="1100">
        <v>0.99195044077497529</v>
      </c>
      <c r="K790">
        <v>1.3083015017257242</v>
      </c>
      <c r="L790">
        <v>0</v>
      </c>
      <c r="M790">
        <v>6.1288150649721376E-4</v>
      </c>
      <c r="N790">
        <v>5.7214247028631295E-2</v>
      </c>
      <c r="O790">
        <v>8.107951571627716E-3</v>
      </c>
      <c r="P790">
        <v>1.6149940533992612E-2</v>
      </c>
      <c r="Q790">
        <v>4.7179855298399952E-4</v>
      </c>
      <c r="R790">
        <v>6.1104839894195965E-4</v>
      </c>
      <c r="S790">
        <v>6.2362052981849166E-2</v>
      </c>
      <c r="T790">
        <v>1.0193338643416421</v>
      </c>
      <c r="U790">
        <v>0</v>
      </c>
      <c r="V790">
        <v>9.7913899419291767E-2</v>
      </c>
      <c r="W790">
        <v>3.7474290463300593E-2</v>
      </c>
      <c r="X790">
        <v>7.612217630090636E-3</v>
      </c>
      <c r="Y790">
        <v>1.6630723098694392E-3</v>
      </c>
    </row>
    <row r="791" spans="1:25" x14ac:dyDescent="0.25">
      <c r="A791" s="1096"/>
      <c r="B791" s="1455">
        <v>541</v>
      </c>
      <c r="C791" s="1100">
        <v>1.0150771461655446</v>
      </c>
      <c r="D791" s="1100">
        <v>0.99242569348388887</v>
      </c>
      <c r="E791" s="1100">
        <v>1.0031325497593704</v>
      </c>
      <c r="F791" s="1100">
        <v>0.96535711751657438</v>
      </c>
      <c r="G791" s="1100">
        <v>0.99444747261847866</v>
      </c>
      <c r="H791" s="1100">
        <v>1.009119788728567</v>
      </c>
      <c r="I791" s="1100">
        <v>0.99846648400958438</v>
      </c>
      <c r="K791">
        <v>1.2780951425718767</v>
      </c>
      <c r="L791">
        <v>0</v>
      </c>
      <c r="M791">
        <v>5.9543080564775476E-4</v>
      </c>
      <c r="N791">
        <v>5.5274206344157965E-2</v>
      </c>
      <c r="O791">
        <v>7.6707069342453887E-3</v>
      </c>
      <c r="P791">
        <v>1.5773308161427836E-2</v>
      </c>
      <c r="Q791">
        <v>4.4551480751920926E-4</v>
      </c>
      <c r="R791">
        <v>5.9368967084908928E-4</v>
      </c>
      <c r="S791">
        <v>6.0100533077069196E-2</v>
      </c>
      <c r="T791">
        <v>0.99652435040623499</v>
      </c>
      <c r="U791">
        <v>0</v>
      </c>
      <c r="V791">
        <v>9.7086050304409116E-2</v>
      </c>
      <c r="W791">
        <v>3.624393718949763E-2</v>
      </c>
      <c r="X791">
        <v>7.3624489078094896E-3</v>
      </c>
      <c r="Y791">
        <v>1.6158275743038235E-3</v>
      </c>
    </row>
    <row r="792" spans="1:25" x14ac:dyDescent="0.25">
      <c r="A792" s="1096"/>
      <c r="B792" s="1455">
        <v>542</v>
      </c>
      <c r="C792" s="1100">
        <v>1.0203810982868888</v>
      </c>
      <c r="D792" s="1100">
        <v>1.0365897118589096</v>
      </c>
      <c r="E792" s="1100">
        <v>0.99768710427531093</v>
      </c>
      <c r="F792" s="1100">
        <v>1.0062896784132254</v>
      </c>
      <c r="G792" s="1100">
        <v>0.99192919401111201</v>
      </c>
      <c r="H792" s="1100">
        <v>0.99688813916845886</v>
      </c>
      <c r="I792" s="1100">
        <v>0.9901925634575669</v>
      </c>
      <c r="K792">
        <v>1.3145582830819107</v>
      </c>
      <c r="L792">
        <v>0</v>
      </c>
      <c r="M792">
        <v>5.8158605804502347E-4</v>
      </c>
      <c r="N792">
        <v>5.3106152209022074E-2</v>
      </c>
      <c r="O792">
        <v>7.497797067964755E-3</v>
      </c>
      <c r="P792">
        <v>1.624888367236069E-2</v>
      </c>
      <c r="Q792">
        <v>4.3309562531290355E-4</v>
      </c>
      <c r="R792">
        <v>5.7986454080437104E-4</v>
      </c>
      <c r="S792">
        <v>5.7564395860357213E-2</v>
      </c>
      <c r="T792">
        <v>1.0389414845693612</v>
      </c>
      <c r="U792">
        <v>0</v>
      </c>
      <c r="V792">
        <v>9.6831286674642844E-2</v>
      </c>
      <c r="W792">
        <v>3.4935166643089412E-2</v>
      </c>
      <c r="X792">
        <v>7.4235421492648496E-3</v>
      </c>
      <c r="Y792">
        <v>1.5782001277749949E-3</v>
      </c>
    </row>
    <row r="793" spans="1:25" x14ac:dyDescent="0.25">
      <c r="A793" s="1096"/>
      <c r="B793" s="1455">
        <v>543</v>
      </c>
      <c r="C793" s="1100">
        <v>1.0178974871367452</v>
      </c>
      <c r="D793" s="1100">
        <v>0.98981304646759083</v>
      </c>
      <c r="E793" s="1100">
        <v>0.98348698577694982</v>
      </c>
      <c r="F793" s="1100">
        <v>0.99213934198716514</v>
      </c>
      <c r="G793" s="1100">
        <v>1.0041520816550829</v>
      </c>
      <c r="H793" s="1100">
        <v>1.0194364671806897</v>
      </c>
      <c r="I793" s="1100">
        <v>0.98097151933073701</v>
      </c>
      <c r="K793">
        <v>1.3053909756890929</v>
      </c>
      <c r="L793">
        <v>0</v>
      </c>
      <c r="M793">
        <v>6.2543339811496493E-4</v>
      </c>
      <c r="N793">
        <v>5.4713639854388457E-2</v>
      </c>
      <c r="O793">
        <v>7.6527712384497305E-3</v>
      </c>
      <c r="P793">
        <v>1.5916418539249487E-2</v>
      </c>
      <c r="Q793">
        <v>4.3575003285698254E-4</v>
      </c>
      <c r="R793">
        <v>6.2362303904528677E-4</v>
      </c>
      <c r="S793">
        <v>5.9253208081131471E-2</v>
      </c>
      <c r="T793">
        <v>1.0247553053973304</v>
      </c>
      <c r="U793">
        <v>0</v>
      </c>
      <c r="V793">
        <v>9.7466137532457059E-2</v>
      </c>
      <c r="W793">
        <v>3.6299975160427399E-2</v>
      </c>
      <c r="X793">
        <v>7.2022838768710353E-3</v>
      </c>
      <c r="Y793">
        <v>1.6972963350016992E-3</v>
      </c>
    </row>
    <row r="794" spans="1:25" x14ac:dyDescent="0.25">
      <c r="A794" s="1096"/>
      <c r="B794" s="1455">
        <v>544</v>
      </c>
      <c r="C794" s="1100">
        <v>1.0013093302966933</v>
      </c>
      <c r="D794" s="1100">
        <v>0.99716463600088723</v>
      </c>
      <c r="E794" s="1100">
        <v>0.97163539701493495</v>
      </c>
      <c r="F794" s="1100">
        <v>1.0192585886479049</v>
      </c>
      <c r="G794" s="1100">
        <v>0.98418353428158978</v>
      </c>
      <c r="H794" s="1100">
        <v>1.0184375085903543</v>
      </c>
      <c r="I794" s="1100">
        <v>0.99067862873811352</v>
      </c>
      <c r="K794">
        <v>1.3352447901969373</v>
      </c>
      <c r="L794">
        <v>0</v>
      </c>
      <c r="M794">
        <v>6.4899968069369502E-4</v>
      </c>
      <c r="N794">
        <v>5.4774910480035993E-2</v>
      </c>
      <c r="O794">
        <v>7.7536595564851188E-3</v>
      </c>
      <c r="P794">
        <v>1.6161899935897527E-2</v>
      </c>
      <c r="Q794">
        <v>4.3620116808758188E-4</v>
      </c>
      <c r="R794">
        <v>6.4711926478966441E-4</v>
      </c>
      <c r="S794">
        <v>6.0548691062523606E-2</v>
      </c>
      <c r="T794">
        <v>1.0531337411697925</v>
      </c>
      <c r="U794">
        <v>0</v>
      </c>
      <c r="V794">
        <v>9.6890426562591087E-2</v>
      </c>
      <c r="W794">
        <v>3.6602129502133367E-2</v>
      </c>
      <c r="X794">
        <v>7.1837658593436127E-3</v>
      </c>
      <c r="Y794">
        <v>1.7612453159491603E-3</v>
      </c>
    </row>
    <row r="795" spans="1:25" x14ac:dyDescent="0.25">
      <c r="A795" s="1096"/>
      <c r="B795" s="1455">
        <v>545</v>
      </c>
      <c r="C795" s="1100">
        <v>1.0161032101781742</v>
      </c>
      <c r="D795" s="1100">
        <v>1.0037251489843333</v>
      </c>
      <c r="E795" s="1100">
        <v>0.99314437821049539</v>
      </c>
      <c r="F795" s="1100">
        <v>0.98066088951415942</v>
      </c>
      <c r="G795" s="1100">
        <v>1.0303659798043665</v>
      </c>
      <c r="H795" s="1100">
        <v>0.9633188343058593</v>
      </c>
      <c r="I795" s="1100">
        <v>0.98700667396984088</v>
      </c>
      <c r="K795">
        <v>1.2880379009459653</v>
      </c>
      <c r="L795">
        <v>0</v>
      </c>
      <c r="M795">
        <v>5.7709653298194366E-4</v>
      </c>
      <c r="N795">
        <v>5.1972292688962904E-2</v>
      </c>
      <c r="O795">
        <v>7.6259287198147639E-3</v>
      </c>
      <c r="P795">
        <v>1.5863843190344871E-2</v>
      </c>
      <c r="Q795">
        <v>4.3848497446354631E-4</v>
      </c>
      <c r="R795">
        <v>5.753287773396428E-4</v>
      </c>
      <c r="S795">
        <v>5.7626005660813218E-2</v>
      </c>
      <c r="T795">
        <v>1.012614308594745</v>
      </c>
      <c r="U795">
        <v>0</v>
      </c>
      <c r="V795">
        <v>9.8787885251144583E-2</v>
      </c>
      <c r="W795">
        <v>3.4282042222542837E-2</v>
      </c>
      <c r="X795">
        <v>7.2630221239362962E-3</v>
      </c>
      <c r="Y795">
        <v>1.5658552748380287E-3</v>
      </c>
    </row>
    <row r="796" spans="1:25" x14ac:dyDescent="0.25">
      <c r="A796" s="1096"/>
      <c r="B796" s="1455">
        <v>546</v>
      </c>
      <c r="C796" s="1100">
        <v>0.96126120356562883</v>
      </c>
      <c r="D796" s="1100">
        <v>0.97262297148781141</v>
      </c>
      <c r="E796" s="1100">
        <v>0.97858017246855189</v>
      </c>
      <c r="F796" s="1100">
        <v>1.0091455800823022</v>
      </c>
      <c r="G796" s="1100">
        <v>1.0105339570655021</v>
      </c>
      <c r="H796" s="1100">
        <v>0.98884370605590011</v>
      </c>
      <c r="I796" s="1100">
        <v>0.99902368689545085</v>
      </c>
      <c r="K796">
        <v>1.3329034873277033</v>
      </c>
      <c r="L796">
        <v>0</v>
      </c>
      <c r="M796">
        <v>6.535244286401782E-4</v>
      </c>
      <c r="N796">
        <v>5.6323568243859222E-2</v>
      </c>
      <c r="O796">
        <v>8.15938809436869E-3</v>
      </c>
      <c r="P796">
        <v>1.6175564791172044E-2</v>
      </c>
      <c r="Q796">
        <v>4.6228689900604979E-4</v>
      </c>
      <c r="R796">
        <v>6.5157423385493762E-4</v>
      </c>
      <c r="S796">
        <v>6.3514912192003378E-2</v>
      </c>
      <c r="T796">
        <v>1.0424708066234305</v>
      </c>
      <c r="U796">
        <v>0</v>
      </c>
      <c r="V796">
        <v>9.9203432155012108E-2</v>
      </c>
      <c r="W796">
        <v>3.747887767749946E-2</v>
      </c>
      <c r="X796">
        <v>7.3432305729728212E-3</v>
      </c>
      <c r="Y796">
        <v>1.7733702731646762E-3</v>
      </c>
    </row>
    <row r="797" spans="1:25" x14ac:dyDescent="0.25">
      <c r="A797" s="1096"/>
      <c r="B797" s="1455">
        <v>547</v>
      </c>
      <c r="C797" s="1100">
        <v>0.98761974004345099</v>
      </c>
      <c r="D797" s="1100">
        <v>1.0107983499551725</v>
      </c>
      <c r="E797" s="1100">
        <v>1.0286968712308124</v>
      </c>
      <c r="F797" s="1100">
        <v>1.0008717123162123</v>
      </c>
      <c r="G797" s="1100">
        <v>1.0352310308765849</v>
      </c>
      <c r="H797" s="1100">
        <v>1.0061641219110191</v>
      </c>
      <c r="I797" s="1100">
        <v>1.0403839737446232</v>
      </c>
      <c r="K797">
        <v>1.3251761562914877</v>
      </c>
      <c r="L797">
        <v>0</v>
      </c>
      <c r="M797">
        <v>5.7437301867090693E-4</v>
      </c>
      <c r="N797">
        <v>5.7595058695100877E-2</v>
      </c>
      <c r="O797">
        <v>7.8326706469807467E-3</v>
      </c>
      <c r="P797">
        <v>1.666005681314265E-2</v>
      </c>
      <c r="Q797">
        <v>4.6665835387992645E-4</v>
      </c>
      <c r="R797">
        <v>5.7268852640278152E-4</v>
      </c>
      <c r="S797">
        <v>6.3666971319992174E-2</v>
      </c>
      <c r="T797">
        <v>1.0324360691420591</v>
      </c>
      <c r="U797">
        <v>0</v>
      </c>
      <c r="V797">
        <v>9.9767006022435281E-2</v>
      </c>
      <c r="W797">
        <v>3.7203304296635445E-2</v>
      </c>
      <c r="X797">
        <v>7.9913761113815339E-3</v>
      </c>
      <c r="Y797">
        <v>1.5586693821463802E-3</v>
      </c>
    </row>
    <row r="798" spans="1:25" x14ac:dyDescent="0.25">
      <c r="A798" s="1096"/>
      <c r="B798" s="1455">
        <v>548</v>
      </c>
      <c r="C798" s="1100">
        <v>1.02857862754723</v>
      </c>
      <c r="D798" s="1100">
        <v>1.003697000833643</v>
      </c>
      <c r="E798" s="1100">
        <v>1.0126463764581157</v>
      </c>
      <c r="F798" s="1100">
        <v>0.98049106985416734</v>
      </c>
      <c r="G798" s="1100">
        <v>0.99779542252279052</v>
      </c>
      <c r="H798" s="1100">
        <v>0.98784735531830536</v>
      </c>
      <c r="I798" s="1100">
        <v>0.99201840686596898</v>
      </c>
      <c r="K798">
        <v>1.2884580273467385</v>
      </c>
      <c r="L798">
        <v>0</v>
      </c>
      <c r="M798">
        <v>5.6143187088567817E-4</v>
      </c>
      <c r="N798">
        <v>5.3633567576980498E-2</v>
      </c>
      <c r="O798">
        <v>7.5381693668094508E-3</v>
      </c>
      <c r="P798">
        <v>1.6064587320160174E-2</v>
      </c>
      <c r="Q798">
        <v>4.4200560478452978E-4</v>
      </c>
      <c r="R798">
        <v>5.597548014675388E-4</v>
      </c>
      <c r="S798">
        <v>5.7956441860843755E-2</v>
      </c>
      <c r="T798">
        <v>1.011871447713842</v>
      </c>
      <c r="U798">
        <v>0</v>
      </c>
      <c r="V798">
        <v>9.6938061234731698E-2</v>
      </c>
      <c r="W798">
        <v>3.4971080563511878E-2</v>
      </c>
      <c r="X798">
        <v>7.5208751280188505E-3</v>
      </c>
      <c r="Y798">
        <v>1.5234680464739283E-3</v>
      </c>
    </row>
    <row r="799" spans="1:25" x14ac:dyDescent="0.25">
      <c r="A799" s="1096"/>
      <c r="B799" s="1455">
        <v>549</v>
      </c>
      <c r="C799" s="1100">
        <v>1.0205844950294625</v>
      </c>
      <c r="D799" s="1100">
        <v>1.0087164448664967</v>
      </c>
      <c r="E799" s="1100">
        <v>1.0118438567884274</v>
      </c>
      <c r="F799" s="1100">
        <v>1.0181880303270072</v>
      </c>
      <c r="G799" s="1100">
        <v>1.0053126664529077</v>
      </c>
      <c r="H799" s="1100">
        <v>1.0046832191066244</v>
      </c>
      <c r="I799" s="1100">
        <v>0.98658850669529774</v>
      </c>
      <c r="K799">
        <v>1.3312205872955305</v>
      </c>
      <c r="L799">
        <v>0</v>
      </c>
      <c r="M799">
        <v>5.752844439108006E-4</v>
      </c>
      <c r="N799">
        <v>5.4826689101150794E-2</v>
      </c>
      <c r="O799">
        <v>7.5818780011664283E-3</v>
      </c>
      <c r="P799">
        <v>1.6604803086782929E-2</v>
      </c>
      <c r="Q799">
        <v>4.4421242793182619E-4</v>
      </c>
      <c r="R799">
        <v>5.7359479177948299E-4</v>
      </c>
      <c r="S799">
        <v>5.8429870905155966E-2</v>
      </c>
      <c r="T799">
        <v>1.0507989141558494</v>
      </c>
      <c r="U799">
        <v>0</v>
      </c>
      <c r="V799">
        <v>9.7489624571406933E-2</v>
      </c>
      <c r="W799">
        <v>3.5765931663875192E-2</v>
      </c>
      <c r="X799">
        <v>7.7192170965904366E-3</v>
      </c>
      <c r="Y799">
        <v>1.5611359377514602E-3</v>
      </c>
    </row>
    <row r="800" spans="1:25" x14ac:dyDescent="0.25">
      <c r="A800" s="1096"/>
      <c r="B800" s="1455">
        <v>550</v>
      </c>
      <c r="C800" s="1100">
        <v>1.0203332648683525</v>
      </c>
      <c r="D800" s="1100">
        <v>0.98489381490577965</v>
      </c>
      <c r="E800" s="1100">
        <v>1.0157358405294199</v>
      </c>
      <c r="F800" s="1100">
        <v>0.96033133227436762</v>
      </c>
      <c r="G800" s="1100">
        <v>0.99950312950367926</v>
      </c>
      <c r="H800" s="1100">
        <v>0.9710046404815168</v>
      </c>
      <c r="I800" s="1100">
        <v>0.99582152739365082</v>
      </c>
      <c r="K800">
        <v>1.2685360155077361</v>
      </c>
      <c r="L800">
        <v>0</v>
      </c>
      <c r="M800">
        <v>5.5695488225175583E-4</v>
      </c>
      <c r="N800">
        <v>5.3701513350133796E-2</v>
      </c>
      <c r="O800">
        <v>7.6575375364128636E-3</v>
      </c>
      <c r="P800">
        <v>1.5827677973896715E-2</v>
      </c>
      <c r="Q800">
        <v>4.5039045208113279E-4</v>
      </c>
      <c r="R800">
        <v>5.5526232827228419E-4</v>
      </c>
      <c r="S800">
        <v>5.8745635273136254E-2</v>
      </c>
      <c r="T800">
        <v>0.99097944422351503</v>
      </c>
      <c r="U800">
        <v>0</v>
      </c>
      <c r="V800">
        <v>9.721887065275607E-2</v>
      </c>
      <c r="W800">
        <v>3.4951861174672499E-2</v>
      </c>
      <c r="X800">
        <v>7.4935364097311009E-3</v>
      </c>
      <c r="Y800">
        <v>1.5112410153798363E-3</v>
      </c>
    </row>
    <row r="801" spans="1:25" x14ac:dyDescent="0.25">
      <c r="A801" s="1096"/>
      <c r="B801" s="1455">
        <v>551</v>
      </c>
      <c r="C801" s="1100">
        <v>1.0331225999577087</v>
      </c>
      <c r="D801" s="1100">
        <v>0.99864035839806597</v>
      </c>
      <c r="E801" s="1100">
        <v>0.99581300610565826</v>
      </c>
      <c r="F801" s="1100">
        <v>1.0273026036153698</v>
      </c>
      <c r="G801" s="1100">
        <v>1.0128199674126686</v>
      </c>
      <c r="H801" s="1100">
        <v>0.99973565063478886</v>
      </c>
      <c r="I801" s="1100">
        <v>1.0080279479594549</v>
      </c>
      <c r="K801">
        <v>1.3393701351731675</v>
      </c>
      <c r="L801">
        <v>0</v>
      </c>
      <c r="M801">
        <v>5.8698883301086524E-4</v>
      </c>
      <c r="N801">
        <v>5.3297246732251169E-2</v>
      </c>
      <c r="O801">
        <v>7.5161875324072265E-3</v>
      </c>
      <c r="P801">
        <v>1.6552812392919745E-2</v>
      </c>
      <c r="Q801">
        <v>4.3333934548089062E-4</v>
      </c>
      <c r="R801">
        <v>5.8525627223413805E-4</v>
      </c>
      <c r="S801">
        <v>5.9130422945053308E-2</v>
      </c>
      <c r="T801">
        <v>1.0606937235438474</v>
      </c>
      <c r="U801">
        <v>0</v>
      </c>
      <c r="V801">
        <v>9.7540298110071672E-2</v>
      </c>
      <c r="W801">
        <v>3.5100050790430021E-2</v>
      </c>
      <c r="X801">
        <v>7.514911698140005E-3</v>
      </c>
      <c r="Y801">
        <v>1.5928746433430329E-3</v>
      </c>
    </row>
    <row r="802" spans="1:25" x14ac:dyDescent="0.25">
      <c r="A802" s="1096"/>
      <c r="B802" s="1455">
        <v>552</v>
      </c>
      <c r="C802" s="1100">
        <v>1.0081908669940691</v>
      </c>
      <c r="D802" s="1100">
        <v>1.0072945552570729</v>
      </c>
      <c r="E802" s="1100">
        <v>0.98639723248559275</v>
      </c>
      <c r="F802" s="1100">
        <v>1.0430907246927585</v>
      </c>
      <c r="G802" s="1100">
        <v>1.0291875163565363</v>
      </c>
      <c r="H802" s="1100">
        <v>0.99639431798139411</v>
      </c>
      <c r="I802" s="1100">
        <v>1.0428714733009279</v>
      </c>
      <c r="K802">
        <v>1.3618487190292317</v>
      </c>
      <c r="L802">
        <v>0</v>
      </c>
      <c r="M802">
        <v>6.0919533076950877E-4</v>
      </c>
      <c r="N802">
        <v>5.3760673732093478E-2</v>
      </c>
      <c r="O802">
        <v>7.6732364998670297E-3</v>
      </c>
      <c r="P802">
        <v>1.672121754514511E-2</v>
      </c>
      <c r="Q802">
        <v>4.3820606624008244E-4</v>
      </c>
      <c r="R802">
        <v>6.0739119531165594E-4</v>
      </c>
      <c r="S802">
        <v>6.2283045278354335E-2</v>
      </c>
      <c r="T802">
        <v>1.0772899616099627</v>
      </c>
      <c r="U802">
        <v>0</v>
      </c>
      <c r="V802">
        <v>9.8914733330937324E-2</v>
      </c>
      <c r="W802">
        <v>3.560534763542611E-2</v>
      </c>
      <c r="X802">
        <v>7.5109828594774183E-3</v>
      </c>
      <c r="Y802">
        <v>1.6531186071846054E-3</v>
      </c>
    </row>
    <row r="803" spans="1:25" x14ac:dyDescent="0.25">
      <c r="A803" s="1096"/>
      <c r="B803" s="1455">
        <v>553</v>
      </c>
      <c r="C803" s="1100">
        <v>0.99599178120164034</v>
      </c>
      <c r="D803" s="1100">
        <v>1.0095660774435178</v>
      </c>
      <c r="E803" s="1100">
        <v>0.98249238222876445</v>
      </c>
      <c r="F803" s="1100">
        <v>1.0097685542109442</v>
      </c>
      <c r="G803" s="1100">
        <v>1.0134452915501606</v>
      </c>
      <c r="H803" s="1100">
        <v>1.0143663399403582</v>
      </c>
      <c r="I803" s="1100">
        <v>0.99889893355693227</v>
      </c>
      <c r="K803">
        <v>1.3274674091925196</v>
      </c>
      <c r="L803">
        <v>0</v>
      </c>
      <c r="M803">
        <v>6.323026438542342E-4</v>
      </c>
      <c r="N803">
        <v>5.5147596032075592E-2</v>
      </c>
      <c r="O803">
        <v>7.7592680982822406E-3</v>
      </c>
      <c r="P803">
        <v>1.618481490691364E-2</v>
      </c>
      <c r="Q803">
        <v>4.4136831282087444E-4</v>
      </c>
      <c r="R803">
        <v>6.3046325315295785E-4</v>
      </c>
      <c r="S803">
        <v>6.0859009730335513E-2</v>
      </c>
      <c r="T803">
        <v>1.0429944709692816</v>
      </c>
      <c r="U803">
        <v>0</v>
      </c>
      <c r="V803">
        <v>9.8449902515037976E-2</v>
      </c>
      <c r="W803">
        <v>3.6609813031236296E-2</v>
      </c>
      <c r="X803">
        <v>7.3070918443120872E-3</v>
      </c>
      <c r="Y803">
        <v>1.7159131429268051E-3</v>
      </c>
    </row>
    <row r="804" spans="1:25" x14ac:dyDescent="0.25">
      <c r="A804" s="1096"/>
      <c r="B804" s="1455">
        <v>554</v>
      </c>
      <c r="C804" s="1100">
        <v>1.011999718388197</v>
      </c>
      <c r="D804" s="1100">
        <v>1.038554736485052</v>
      </c>
      <c r="E804" s="1100">
        <v>1.0436172979356444</v>
      </c>
      <c r="F804" s="1100">
        <v>1.0453394688776225</v>
      </c>
      <c r="G804" s="1100">
        <v>1.0098909779417133</v>
      </c>
      <c r="H804" s="1100">
        <v>1.0085440596218347</v>
      </c>
      <c r="I804" s="1100">
        <v>0.97676234189277467</v>
      </c>
      <c r="K804">
        <v>1.3612665056223581</v>
      </c>
      <c r="L804">
        <v>0</v>
      </c>
      <c r="M804">
        <v>5.3877647001758814E-4</v>
      </c>
      <c r="N804">
        <v>5.6510354045924395E-2</v>
      </c>
      <c r="O804">
        <v>7.5651769207051552E-3</v>
      </c>
      <c r="P804">
        <v>1.7368890540713548E-2</v>
      </c>
      <c r="Q804">
        <v>4.5739698774229735E-4</v>
      </c>
      <c r="R804">
        <v>5.3720010218823015E-4</v>
      </c>
      <c r="S804">
        <v>5.7576983290225876E-2</v>
      </c>
      <c r="T804">
        <v>1.0778586637614564</v>
      </c>
      <c r="U804">
        <v>0</v>
      </c>
      <c r="V804">
        <v>9.7952955667894998E-2</v>
      </c>
      <c r="W804">
        <v>3.6189368663661986E-2</v>
      </c>
      <c r="X804">
        <v>8.3262105216735712E-3</v>
      </c>
      <c r="Y804">
        <v>1.46208159019027E-3</v>
      </c>
    </row>
    <row r="805" spans="1:25" x14ac:dyDescent="0.25">
      <c r="A805" s="1096"/>
      <c r="B805" s="1455">
        <v>555</v>
      </c>
      <c r="C805" s="1100">
        <v>0.98486896935262414</v>
      </c>
      <c r="D805" s="1100">
        <v>1.0000487689621189</v>
      </c>
      <c r="E805" s="1100">
        <v>1.0271873082391909</v>
      </c>
      <c r="F805" s="1100">
        <v>0.97397637846060481</v>
      </c>
      <c r="G805" s="1100">
        <v>1.0205761108545379</v>
      </c>
      <c r="H805" s="1100">
        <v>1.0181652683470939</v>
      </c>
      <c r="I805" s="1100">
        <v>0.98945189894580488</v>
      </c>
      <c r="K805">
        <v>1.2958156735093613</v>
      </c>
      <c r="L805">
        <v>0</v>
      </c>
      <c r="M805">
        <v>5.8718888272836804E-4</v>
      </c>
      <c r="N805">
        <v>5.8614820476608924E-2</v>
      </c>
      <c r="O805">
        <v>7.8878330200018321E-3</v>
      </c>
      <c r="P805">
        <v>1.6216308091783347E-2</v>
      </c>
      <c r="Q805">
        <v>4.6924318265322647E-4</v>
      </c>
      <c r="R805">
        <v>5.8548710292752998E-4</v>
      </c>
      <c r="S805">
        <v>6.14349036547545E-2</v>
      </c>
      <c r="T805">
        <v>1.0047350848357615</v>
      </c>
      <c r="U805">
        <v>0</v>
      </c>
      <c r="V805">
        <v>9.9126307091426197E-2</v>
      </c>
      <c r="W805">
        <v>3.7895260815358434E-2</v>
      </c>
      <c r="X805">
        <v>7.8441112324166441E-3</v>
      </c>
      <c r="Y805">
        <v>1.5935028883971277E-3</v>
      </c>
    </row>
    <row r="806" spans="1:25" x14ac:dyDescent="0.25">
      <c r="A806" s="1096"/>
      <c r="B806" s="1455">
        <v>556</v>
      </c>
      <c r="C806" s="1100">
        <v>0.98405183830026832</v>
      </c>
      <c r="D806" s="1100">
        <v>0.97675039305944666</v>
      </c>
      <c r="E806" s="1100">
        <v>0.98146524629961296</v>
      </c>
      <c r="F806" s="1100">
        <v>0.96028118691574404</v>
      </c>
      <c r="G806" s="1100">
        <v>1.001094898972702</v>
      </c>
      <c r="H806" s="1100">
        <v>0.96935434404843746</v>
      </c>
      <c r="I806" s="1100">
        <v>0.98146819516313488</v>
      </c>
      <c r="K806">
        <v>1.2727816582992986</v>
      </c>
      <c r="L806">
        <v>0</v>
      </c>
      <c r="M806">
        <v>6.2103153919991375E-4</v>
      </c>
      <c r="N806">
        <v>5.3989202930093176E-2</v>
      </c>
      <c r="O806">
        <v>7.957651630943266E-3</v>
      </c>
      <c r="P806">
        <v>1.5472500509927439E-2</v>
      </c>
      <c r="Q806">
        <v>4.5218111462704734E-4</v>
      </c>
      <c r="R806">
        <v>6.1914104689506251E-4</v>
      </c>
      <c r="S806">
        <v>6.0218798919288774E-2</v>
      </c>
      <c r="T806">
        <v>0.99190863672769558</v>
      </c>
      <c r="U806">
        <v>0</v>
      </c>
      <c r="V806">
        <v>9.8153179998144949E-2</v>
      </c>
      <c r="W806">
        <v>3.5863012885359452E-2</v>
      </c>
      <c r="X806">
        <v>7.0832862456654024E-3</v>
      </c>
      <c r="Y806">
        <v>1.685097829857104E-3</v>
      </c>
    </row>
    <row r="807" spans="1:25" x14ac:dyDescent="0.25">
      <c r="A807" s="1096"/>
      <c r="B807" s="1455">
        <v>557</v>
      </c>
      <c r="C807" s="1100">
        <v>1.009015940902303</v>
      </c>
      <c r="D807" s="1100">
        <v>1.0080621182002354</v>
      </c>
      <c r="E807" s="1100">
        <v>1.0121438323637439</v>
      </c>
      <c r="F807" s="1100">
        <v>0.99876633991788666</v>
      </c>
      <c r="G807" s="1100">
        <v>1.0000114595506564</v>
      </c>
      <c r="H807" s="1100">
        <v>0.99482684756579232</v>
      </c>
      <c r="I807" s="1100">
        <v>1.0078279259062279</v>
      </c>
      <c r="K807">
        <v>1.3128161662721387</v>
      </c>
      <c r="L807">
        <v>0</v>
      </c>
      <c r="M807">
        <v>5.7596209843108583E-4</v>
      </c>
      <c r="N807">
        <v>5.4939394748823651E-2</v>
      </c>
      <c r="O807">
        <v>7.670869233462922E-3</v>
      </c>
      <c r="P807">
        <v>1.6355727945100727E-2</v>
      </c>
      <c r="Q807">
        <v>4.4956094934573614E-4</v>
      </c>
      <c r="R807">
        <v>5.7425369581992017E-4</v>
      </c>
      <c r="S807">
        <v>6.0093667232380348E-2</v>
      </c>
      <c r="T807">
        <v>1.0307463681231896</v>
      </c>
      <c r="U807">
        <v>0</v>
      </c>
      <c r="V807">
        <v>9.7511946534097158E-2</v>
      </c>
      <c r="W807">
        <v>3.5833125583968402E-2</v>
      </c>
      <c r="X807">
        <v>7.6542850670391887E-3</v>
      </c>
      <c r="Y807">
        <v>1.562929257341872E-3</v>
      </c>
    </row>
    <row r="808" spans="1:25" x14ac:dyDescent="0.25">
      <c r="A808" s="1096"/>
      <c r="B808" s="1455">
        <v>558</v>
      </c>
      <c r="C808" s="1100">
        <v>0.99298018910036123</v>
      </c>
      <c r="D808" s="1100">
        <v>1.0377106094330513</v>
      </c>
      <c r="E808" s="1100">
        <v>1.0117078726116273</v>
      </c>
      <c r="F808" s="1100">
        <v>0.96148931731828169</v>
      </c>
      <c r="G808" s="1100">
        <v>1.0008287856774933</v>
      </c>
      <c r="H808" s="1100">
        <v>1.0161546988214067</v>
      </c>
      <c r="I808" s="1100">
        <v>0.98068011780466291</v>
      </c>
      <c r="K808">
        <v>1.275534055048489</v>
      </c>
      <c r="L808">
        <v>0</v>
      </c>
      <c r="M808">
        <v>5.9145479433811942E-4</v>
      </c>
      <c r="N808">
        <v>5.6346522489005513E-2</v>
      </c>
      <c r="O808">
        <v>7.704783527999845E-3</v>
      </c>
      <c r="P808">
        <v>1.5814181504869455E-2</v>
      </c>
      <c r="Q808">
        <v>4.5135200519258814E-4</v>
      </c>
      <c r="R808">
        <v>5.8973725953875053E-4</v>
      </c>
      <c r="S808">
        <v>5.9136544041892537E-2</v>
      </c>
      <c r="T808">
        <v>0.9922880807628135</v>
      </c>
      <c r="U808">
        <v>0</v>
      </c>
      <c r="V808">
        <v>9.7947722651318431E-2</v>
      </c>
      <c r="W808">
        <v>3.6760331243740327E-2</v>
      </c>
      <c r="X808">
        <v>7.481183942826047E-3</v>
      </c>
      <c r="Y808">
        <v>1.6050704136291206E-3</v>
      </c>
    </row>
    <row r="809" spans="1:25" x14ac:dyDescent="0.25">
      <c r="A809" s="1096"/>
      <c r="B809" s="1455">
        <v>559</v>
      </c>
      <c r="C809" s="1100">
        <v>0.98614807497834223</v>
      </c>
      <c r="D809" s="1100">
        <v>0.98235337079938279</v>
      </c>
      <c r="E809" s="1100">
        <v>1.007457081456596</v>
      </c>
      <c r="F809" s="1100">
        <v>0.99506067760242134</v>
      </c>
      <c r="G809" s="1100">
        <v>0.96444646150202196</v>
      </c>
      <c r="H809" s="1100">
        <v>1.0413553741700758</v>
      </c>
      <c r="I809" s="1100">
        <v>1.0321355207016958</v>
      </c>
      <c r="K809">
        <v>1.3207524777441046</v>
      </c>
      <c r="L809">
        <v>0</v>
      </c>
      <c r="M809">
        <v>6.2938672073257248E-4</v>
      </c>
      <c r="N809">
        <v>5.9199796854261348E-2</v>
      </c>
      <c r="O809">
        <v>7.9290991491579917E-3</v>
      </c>
      <c r="P809">
        <v>1.6304735599554782E-2</v>
      </c>
      <c r="Q809">
        <v>4.6252256885398485E-4</v>
      </c>
      <c r="R809">
        <v>6.2760326460089893E-4</v>
      </c>
      <c r="S809">
        <v>6.5342568282881278E-2</v>
      </c>
      <c r="T809">
        <v>1.0270595048821647</v>
      </c>
      <c r="U809">
        <v>0</v>
      </c>
      <c r="V809">
        <v>9.6355730046263355E-2</v>
      </c>
      <c r="W809">
        <v>3.8718762789752101E-2</v>
      </c>
      <c r="X809">
        <v>7.6734118304633654E-3</v>
      </c>
      <c r="Y809">
        <v>1.7081291968830739E-3</v>
      </c>
    </row>
    <row r="810" spans="1:25" x14ac:dyDescent="0.25">
      <c r="A810" s="1096"/>
      <c r="B810" s="1455">
        <v>560</v>
      </c>
      <c r="C810" s="1100">
        <v>1.0074834178287899</v>
      </c>
      <c r="D810" s="1100">
        <v>1.0168444131964323</v>
      </c>
      <c r="E810" s="1100">
        <v>0.99144790465469979</v>
      </c>
      <c r="F810" s="1100">
        <v>0.98853542634653779</v>
      </c>
      <c r="G810" s="1100">
        <v>1.0122034125473076</v>
      </c>
      <c r="H810" s="1100">
        <v>1.002971876045254</v>
      </c>
      <c r="I810" s="1100">
        <v>1.0037273560591602</v>
      </c>
      <c r="K810">
        <v>1.3018139725228097</v>
      </c>
      <c r="L810">
        <v>0</v>
      </c>
      <c r="M810">
        <v>6.0497531431633977E-4</v>
      </c>
      <c r="N810">
        <v>5.421090024479714E-2</v>
      </c>
      <c r="O810">
        <v>7.6509171627625475E-3</v>
      </c>
      <c r="P810">
        <v>1.5976076543605243E-2</v>
      </c>
      <c r="Q810">
        <v>4.3916904539919682E-4</v>
      </c>
      <c r="R810">
        <v>6.0319542614477751E-4</v>
      </c>
      <c r="S810">
        <v>5.9888171710085251E-2</v>
      </c>
      <c r="T810">
        <v>1.0207957280269011</v>
      </c>
      <c r="U810">
        <v>0</v>
      </c>
      <c r="V810">
        <v>9.8116041269343354E-2</v>
      </c>
      <c r="W810">
        <v>3.5794969609783192E-2</v>
      </c>
      <c r="X810">
        <v>7.3020796916545014E-3</v>
      </c>
      <c r="Y810">
        <v>1.641699106647296E-3</v>
      </c>
    </row>
    <row r="811" spans="1:25" x14ac:dyDescent="0.25">
      <c r="A811" s="1096"/>
      <c r="B811" s="1455">
        <v>561</v>
      </c>
      <c r="C811" s="1100">
        <v>1.0276124198603325</v>
      </c>
      <c r="D811" s="1100">
        <v>1.0042603425159071</v>
      </c>
      <c r="E811" s="1100">
        <v>0.98084218698902248</v>
      </c>
      <c r="F811" s="1100">
        <v>1.0093127486182329</v>
      </c>
      <c r="G811" s="1100">
        <v>1.0050721540689227</v>
      </c>
      <c r="H811" s="1100">
        <v>1.0179096992219694</v>
      </c>
      <c r="I811" s="1100">
        <v>0.99996223317307265</v>
      </c>
      <c r="K811">
        <v>1.321482336960091</v>
      </c>
      <c r="L811">
        <v>0</v>
      </c>
      <c r="M811">
        <v>6.1839151333025876E-4</v>
      </c>
      <c r="N811">
        <v>5.3666266544603491E-2</v>
      </c>
      <c r="O811">
        <v>7.5359833632352956E-3</v>
      </c>
      <c r="P811">
        <v>1.612243859329919E-2</v>
      </c>
      <c r="Q811">
        <v>4.2794955237683216E-4</v>
      </c>
      <c r="R811">
        <v>6.1659885267615125E-4</v>
      </c>
      <c r="S811">
        <v>5.9319360208708774E-2</v>
      </c>
      <c r="T811">
        <v>1.0425741552238594</v>
      </c>
      <c r="U811">
        <v>0</v>
      </c>
      <c r="V811">
        <v>9.7277623351477632E-2</v>
      </c>
      <c r="W811">
        <v>3.5661900154446063E-2</v>
      </c>
      <c r="X811">
        <v>7.2202738135087197E-3</v>
      </c>
      <c r="Y811">
        <v>1.6781788152273268E-3</v>
      </c>
    </row>
    <row r="812" spans="1:25" x14ac:dyDescent="0.25">
      <c r="A812" s="1096"/>
      <c r="B812" s="1455">
        <v>562</v>
      </c>
      <c r="C812" s="1100">
        <v>1.0024743297999288</v>
      </c>
      <c r="D812" s="1100">
        <v>0.9844260333881022</v>
      </c>
      <c r="E812" s="1100">
        <v>0.99666885033569552</v>
      </c>
      <c r="F812" s="1100">
        <v>0.98624989859617285</v>
      </c>
      <c r="G812" s="1100">
        <v>1.0108479150172638</v>
      </c>
      <c r="H812" s="1100">
        <v>1.0296817019112758</v>
      </c>
      <c r="I812" s="1100">
        <v>1.012238313031846</v>
      </c>
      <c r="K812">
        <v>1.3068905361598246</v>
      </c>
      <c r="L812">
        <v>0</v>
      </c>
      <c r="M812">
        <v>6.255270875431475E-4</v>
      </c>
      <c r="N812">
        <v>5.6948423522889924E-2</v>
      </c>
      <c r="O812">
        <v>7.7907338384130683E-3</v>
      </c>
      <c r="P812">
        <v>1.604226554800316E-2</v>
      </c>
      <c r="Q812">
        <v>4.49555458291361E-4</v>
      </c>
      <c r="R812">
        <v>6.2373447288151609E-4</v>
      </c>
      <c r="S812">
        <v>6.2595211802675965E-2</v>
      </c>
      <c r="T812">
        <v>1.0182814357385424</v>
      </c>
      <c r="U812">
        <v>0</v>
      </c>
      <c r="V812">
        <v>9.8179191546631767E-2</v>
      </c>
      <c r="W812">
        <v>3.7485482777540116E-2</v>
      </c>
      <c r="X812">
        <v>7.4224289203280889E-3</v>
      </c>
      <c r="Y812">
        <v>1.6975996211697614E-3</v>
      </c>
    </row>
    <row r="813" spans="1:25" x14ac:dyDescent="0.25">
      <c r="A813" s="1096"/>
      <c r="B813" s="1455">
        <v>563</v>
      </c>
      <c r="C813" s="1100">
        <v>0.99995151594446952</v>
      </c>
      <c r="D813" s="1100">
        <v>1.0073271435978457</v>
      </c>
      <c r="E813" s="1100">
        <v>0.95833176794898411</v>
      </c>
      <c r="F813" s="1100">
        <v>0.96244447077594708</v>
      </c>
      <c r="G813" s="1100">
        <v>0.97937457170462583</v>
      </c>
      <c r="H813" s="1100">
        <v>0.98676834549491499</v>
      </c>
      <c r="I813" s="1100">
        <v>0.98688848495607662</v>
      </c>
      <c r="K813">
        <v>1.2698771040864767</v>
      </c>
      <c r="L813">
        <v>0</v>
      </c>
      <c r="M813">
        <v>6.4457172353811921E-4</v>
      </c>
      <c r="N813">
        <v>5.2247711480346591E-2</v>
      </c>
      <c r="O813">
        <v>7.7295232190877474E-3</v>
      </c>
      <c r="P813">
        <v>1.5204825216573585E-2</v>
      </c>
      <c r="Q813">
        <v>4.2895425169602345E-4</v>
      </c>
      <c r="R813">
        <v>6.4264419925192783E-4</v>
      </c>
      <c r="S813">
        <v>5.9108378955413148E-2</v>
      </c>
      <c r="T813">
        <v>0.99482593938336417</v>
      </c>
      <c r="U813">
        <v>0</v>
      </c>
      <c r="V813">
        <v>9.667687370603481E-2</v>
      </c>
      <c r="W813">
        <v>3.5198366588465368E-2</v>
      </c>
      <c r="X813">
        <v>6.7093931470201098E-3</v>
      </c>
      <c r="Y813">
        <v>1.7490656627603992E-3</v>
      </c>
    </row>
    <row r="814" spans="1:25" x14ac:dyDescent="0.25">
      <c r="A814" s="1096"/>
      <c r="B814" s="1455">
        <v>564</v>
      </c>
      <c r="C814" s="1100">
        <v>1.0068206524192558</v>
      </c>
      <c r="D814" s="1100">
        <v>0.98545864895850765</v>
      </c>
      <c r="E814" s="1100">
        <v>0.98981482433587575</v>
      </c>
      <c r="F814" s="1100">
        <v>0.99169259843045843</v>
      </c>
      <c r="G814" s="1100">
        <v>1.0044489181786145</v>
      </c>
      <c r="H814" s="1100">
        <v>0.96485311242133931</v>
      </c>
      <c r="I814" s="1100">
        <v>1.0060085464228261</v>
      </c>
      <c r="K814">
        <v>1.3024950320491471</v>
      </c>
      <c r="L814">
        <v>0</v>
      </c>
      <c r="M814">
        <v>5.9171333557746252E-4</v>
      </c>
      <c r="N814">
        <v>5.2755222067463789E-2</v>
      </c>
      <c r="O814">
        <v>7.7521707236281054E-3</v>
      </c>
      <c r="P814">
        <v>1.5996663610187953E-2</v>
      </c>
      <c r="Q814">
        <v>4.4424743417827042E-4</v>
      </c>
      <c r="R814">
        <v>5.8990368813488113E-4</v>
      </c>
      <c r="S814">
        <v>5.9910613483287189E-2</v>
      </c>
      <c r="T814">
        <v>1.0241045903609649</v>
      </c>
      <c r="U814">
        <v>0</v>
      </c>
      <c r="V814">
        <v>9.7755301502675557E-2</v>
      </c>
      <c r="W814">
        <v>3.4867876462991929E-2</v>
      </c>
      <c r="X814">
        <v>7.3046326738064075E-3</v>
      </c>
      <c r="Y814">
        <v>1.6055233774046153E-3</v>
      </c>
    </row>
    <row r="815" spans="1:25" x14ac:dyDescent="0.25">
      <c r="A815" s="1096"/>
      <c r="B815" s="1455">
        <v>565</v>
      </c>
      <c r="C815" s="1100">
        <v>0.96449148402567075</v>
      </c>
      <c r="D815" s="1100">
        <v>1.0089862822656952</v>
      </c>
      <c r="E815" s="1100">
        <v>1.0403665513852194</v>
      </c>
      <c r="F815" s="1100">
        <v>1.0049691085368344</v>
      </c>
      <c r="G815" s="1100">
        <v>1.011563290927505</v>
      </c>
      <c r="H815" s="1100">
        <v>1.0037056653000913</v>
      </c>
      <c r="I815" s="1100">
        <v>0.98978696801246679</v>
      </c>
      <c r="K815">
        <v>1.3304098073396764</v>
      </c>
      <c r="L815">
        <v>0</v>
      </c>
      <c r="M815">
        <v>5.7301608021159797E-4</v>
      </c>
      <c r="N815">
        <v>5.9515199437827633E-2</v>
      </c>
      <c r="O815">
        <v>8.0292294356124356E-3</v>
      </c>
      <c r="P815">
        <v>1.6825343540635956E-2</v>
      </c>
      <c r="Q815">
        <v>4.8390643849304985E-4</v>
      </c>
      <c r="R815">
        <v>5.7133145128999833E-4</v>
      </c>
      <c r="S815">
        <v>6.2017686836038637E-2</v>
      </c>
      <c r="T815">
        <v>1.0363256111540859</v>
      </c>
      <c r="U815">
        <v>0</v>
      </c>
      <c r="V815">
        <v>9.9237247182052207E-2</v>
      </c>
      <c r="W815">
        <v>3.8184992645454809E-2</v>
      </c>
      <c r="X815">
        <v>8.2372994273494232E-3</v>
      </c>
      <c r="Y815">
        <v>1.5549758710490752E-3</v>
      </c>
    </row>
    <row r="816" spans="1:25" x14ac:dyDescent="0.25">
      <c r="A816" s="1096"/>
      <c r="B816" s="1455">
        <v>566</v>
      </c>
      <c r="C816" s="1100">
        <v>0.98140851753153391</v>
      </c>
      <c r="D816" s="1100">
        <v>0.99437436985754535</v>
      </c>
      <c r="E816" s="1100">
        <v>0.99623713704477745</v>
      </c>
      <c r="F816" s="1100">
        <v>1.0268423692226583</v>
      </c>
      <c r="G816" s="1100">
        <v>1.0257113302483061</v>
      </c>
      <c r="H816" s="1100">
        <v>0.9994475892347251</v>
      </c>
      <c r="I816" s="1100">
        <v>1.0048238440506745</v>
      </c>
      <c r="K816">
        <v>1.3493490427262438</v>
      </c>
      <c r="L816">
        <v>0</v>
      </c>
      <c r="M816">
        <v>6.1825630527962739E-4</v>
      </c>
      <c r="N816">
        <v>5.6208213551108312E-2</v>
      </c>
      <c r="O816">
        <v>7.9259101659146357E-3</v>
      </c>
      <c r="P816">
        <v>1.6618656368900926E-2</v>
      </c>
      <c r="Q816">
        <v>4.5715683882589455E-4</v>
      </c>
      <c r="R816">
        <v>6.1643092923064832E-4</v>
      </c>
      <c r="S816">
        <v>6.2182432006197864E-2</v>
      </c>
      <c r="T816">
        <v>1.0602055150615595</v>
      </c>
      <c r="U816">
        <v>0</v>
      </c>
      <c r="V816">
        <v>9.9428353630976921E-2</v>
      </c>
      <c r="W816">
        <v>3.7007771299010526E-2</v>
      </c>
      <c r="X816">
        <v>7.6391373968344037E-3</v>
      </c>
      <c r="Y816">
        <v>1.6777217829646166E-3</v>
      </c>
    </row>
    <row r="817" spans="1:25" x14ac:dyDescent="0.25">
      <c r="A817" s="1096"/>
      <c r="B817" s="1455">
        <v>567</v>
      </c>
      <c r="C817" s="1100">
        <v>1.0236783878252624</v>
      </c>
      <c r="D817" s="1100">
        <v>0.98906120629024585</v>
      </c>
      <c r="E817" s="1100">
        <v>0.98219584719397812</v>
      </c>
      <c r="F817" s="1100">
        <v>1.0078238490586271</v>
      </c>
      <c r="G817" s="1100">
        <v>1.0083846203244369</v>
      </c>
      <c r="H817" s="1100">
        <v>0.99985468531255817</v>
      </c>
      <c r="I817" s="1100">
        <v>0.9829389230342519</v>
      </c>
      <c r="K817">
        <v>1.3187665156163824</v>
      </c>
      <c r="L817">
        <v>0</v>
      </c>
      <c r="M817">
        <v>6.117729964468377E-4</v>
      </c>
      <c r="N817">
        <v>5.3306959609474347E-2</v>
      </c>
      <c r="O817">
        <v>7.6115577555752826E-3</v>
      </c>
      <c r="P817">
        <v>1.6109913538051902E-2</v>
      </c>
      <c r="Q817">
        <v>4.3283584073386177E-4</v>
      </c>
      <c r="R817">
        <v>6.0996749751555197E-4</v>
      </c>
      <c r="S817">
        <v>5.8483048947005997E-2</v>
      </c>
      <c r="T817">
        <v>1.0409948293692917</v>
      </c>
      <c r="U817">
        <v>0</v>
      </c>
      <c r="V817">
        <v>9.7531993948292039E-2</v>
      </c>
      <c r="W817">
        <v>3.5394229004115818E-2</v>
      </c>
      <c r="X817">
        <v>7.2428226502650834E-3</v>
      </c>
      <c r="Y817">
        <v>1.6601304525058168E-3</v>
      </c>
    </row>
    <row r="818" spans="1:25" x14ac:dyDescent="0.25">
      <c r="A818" s="1096"/>
      <c r="B818" s="1455">
        <v>568</v>
      </c>
      <c r="C818" s="1100">
        <v>1.0046612078967545</v>
      </c>
      <c r="D818" s="1100">
        <v>1.0121214551955173</v>
      </c>
      <c r="E818" s="1100">
        <v>0.97577560040472533</v>
      </c>
      <c r="F818" s="1100">
        <v>0.95869748871090166</v>
      </c>
      <c r="G818" s="1100">
        <v>1.0137745498861692</v>
      </c>
      <c r="H818" s="1100">
        <v>0.98684918533479338</v>
      </c>
      <c r="I818" s="1100">
        <v>0.9849053399779788</v>
      </c>
      <c r="K818">
        <v>1.2673300342200868</v>
      </c>
      <c r="L818">
        <v>0</v>
      </c>
      <c r="M818">
        <v>6.1774457954781364E-4</v>
      </c>
      <c r="N818">
        <v>5.2789627902257705E-2</v>
      </c>
      <c r="O818">
        <v>7.68290957966993E-3</v>
      </c>
      <c r="P818">
        <v>1.5365282792483385E-2</v>
      </c>
      <c r="Q818">
        <v>4.3405002741723234E-4</v>
      </c>
      <c r="R818">
        <v>6.1589743035385446E-4</v>
      </c>
      <c r="S818">
        <v>5.8582364389981927E-2</v>
      </c>
      <c r="T818">
        <v>0.99043862225643098</v>
      </c>
      <c r="U818">
        <v>0</v>
      </c>
      <c r="V818">
        <v>9.8243724757138884E-2</v>
      </c>
      <c r="W818">
        <v>3.5186990846803073E-2</v>
      </c>
      <c r="X818">
        <v>6.932039042206216E-3</v>
      </c>
      <c r="Y818">
        <v>1.6762697748898415E-3</v>
      </c>
    </row>
    <row r="819" spans="1:25" x14ac:dyDescent="0.25">
      <c r="A819" s="1096"/>
      <c r="B819" s="1455">
        <v>569</v>
      </c>
      <c r="C819" s="1100">
        <v>1.0154208218392347</v>
      </c>
      <c r="D819" s="1100">
        <v>0.99357731222880308</v>
      </c>
      <c r="E819" s="1100">
        <v>1.0142498020745916</v>
      </c>
      <c r="F819" s="1100">
        <v>1.0198529025367673</v>
      </c>
      <c r="G819" s="1100">
        <v>1.0213655141581395</v>
      </c>
      <c r="H819" s="1100">
        <v>0.97948322813967414</v>
      </c>
      <c r="I819" s="1100">
        <v>0.99079256757280731</v>
      </c>
      <c r="K819">
        <v>1.3330958498002006</v>
      </c>
      <c r="L819">
        <v>0</v>
      </c>
      <c r="M819">
        <v>5.6429810261903119E-4</v>
      </c>
      <c r="N819">
        <v>5.4167510521063854E-2</v>
      </c>
      <c r="O819">
        <v>7.6672524919453987E-3</v>
      </c>
      <c r="P819">
        <v>1.6673246482151068E-2</v>
      </c>
      <c r="Q819">
        <v>4.5029428521362166E-4</v>
      </c>
      <c r="R819">
        <v>5.6259807724146277E-4</v>
      </c>
      <c r="S819">
        <v>5.8706594234830538E-2</v>
      </c>
      <c r="T819">
        <v>1.0524450266092309</v>
      </c>
      <c r="U819">
        <v>0</v>
      </c>
      <c r="V819">
        <v>9.8392482264481967E-2</v>
      </c>
      <c r="W819">
        <v>3.5285943085211081E-2</v>
      </c>
      <c r="X819">
        <v>7.7779933456034074E-3</v>
      </c>
      <c r="Y819">
        <v>1.5312065058449428E-3</v>
      </c>
    </row>
    <row r="820" spans="1:25" x14ac:dyDescent="0.25">
      <c r="A820" s="1096"/>
      <c r="B820" s="1455">
        <v>570</v>
      </c>
      <c r="C820" s="1100">
        <v>0.98903484891592863</v>
      </c>
      <c r="D820" s="1100">
        <v>1.0209739646356573</v>
      </c>
      <c r="E820" s="1100">
        <v>0.99955852686805613</v>
      </c>
      <c r="F820" s="1100">
        <v>1.0169558483235739</v>
      </c>
      <c r="G820" s="1100">
        <v>1.0148199540302441</v>
      </c>
      <c r="H820" s="1100">
        <v>1.0059720072740339</v>
      </c>
      <c r="I820" s="1100">
        <v>1.0073042210393508</v>
      </c>
      <c r="K820">
        <v>1.336116121329878</v>
      </c>
      <c r="L820">
        <v>0</v>
      </c>
      <c r="M820">
        <v>6.0681404848293881E-4</v>
      </c>
      <c r="N820">
        <v>5.5725484727205558E-2</v>
      </c>
      <c r="O820">
        <v>7.7830009295649051E-3</v>
      </c>
      <c r="P820">
        <v>1.6496089965918871E-2</v>
      </c>
      <c r="Q820">
        <v>4.5041700499390139E-4</v>
      </c>
      <c r="R820">
        <v>6.0503407493205357E-4</v>
      </c>
      <c r="S820">
        <v>6.1190431657058571E-2</v>
      </c>
      <c r="T820">
        <v>1.0498970217071604</v>
      </c>
      <c r="U820">
        <v>0</v>
      </c>
      <c r="V820">
        <v>9.8710503301777941E-2</v>
      </c>
      <c r="W820">
        <v>3.6617463673331768E-2</v>
      </c>
      <c r="X820">
        <v>7.6007850338808596E-3</v>
      </c>
      <c r="Y820">
        <v>1.6467033025358512E-3</v>
      </c>
    </row>
    <row r="821" spans="1:25" x14ac:dyDescent="0.25">
      <c r="A821" s="1096"/>
      <c r="B821" s="1455">
        <v>571</v>
      </c>
      <c r="C821" s="1100">
        <v>1.0114237674069393</v>
      </c>
      <c r="D821" s="1100">
        <v>0.97348143201567483</v>
      </c>
      <c r="E821" s="1100">
        <v>1.0102529514042844</v>
      </c>
      <c r="F821" s="1100">
        <v>1.0375401986614485</v>
      </c>
      <c r="G821" s="1100">
        <v>0.99160415474735153</v>
      </c>
      <c r="H821" s="1100">
        <v>0.99187185101858943</v>
      </c>
      <c r="I821" s="1100">
        <v>1.0049342605816032</v>
      </c>
      <c r="K821">
        <v>1.3546360637879724</v>
      </c>
      <c r="L821">
        <v>0</v>
      </c>
      <c r="M821">
        <v>5.832262371949482E-4</v>
      </c>
      <c r="N821">
        <v>5.5315161988681444E-2</v>
      </c>
      <c r="O821">
        <v>7.7597422242273954E-3</v>
      </c>
      <c r="P821">
        <v>1.6887152813113135E-2</v>
      </c>
      <c r="Q821">
        <v>4.539112376467535E-4</v>
      </c>
      <c r="R821">
        <v>5.8149113401351302E-4</v>
      </c>
      <c r="S821">
        <v>6.0817018874412702E-2</v>
      </c>
      <c r="T821">
        <v>1.0708194891206755</v>
      </c>
      <c r="U821">
        <v>0</v>
      </c>
      <c r="V821">
        <v>9.7044605534627043E-2</v>
      </c>
      <c r="W821">
        <v>3.6118424187878313E-2</v>
      </c>
      <c r="X821">
        <v>7.8396657316072565E-3</v>
      </c>
      <c r="Y821">
        <v>1.582627178283973E-3</v>
      </c>
    </row>
    <row r="822" spans="1:25" x14ac:dyDescent="0.25">
      <c r="A822" s="1096"/>
      <c r="B822" s="1455">
        <v>572</v>
      </c>
      <c r="C822" s="1100">
        <v>1.0015044979276002</v>
      </c>
      <c r="D822" s="1100">
        <v>1.022970758663277</v>
      </c>
      <c r="E822" s="1100">
        <v>0.98481865748666841</v>
      </c>
      <c r="F822" s="1100">
        <v>1.0094566797929576</v>
      </c>
      <c r="G822" s="1100">
        <v>0.97748166311217655</v>
      </c>
      <c r="H822" s="1100">
        <v>1.0046235407371675</v>
      </c>
      <c r="I822" s="1100">
        <v>1.0212701259974746</v>
      </c>
      <c r="K822">
        <v>1.3236549837108034</v>
      </c>
      <c r="L822">
        <v>0</v>
      </c>
      <c r="M822">
        <v>6.1653069692172303E-4</v>
      </c>
      <c r="N822">
        <v>5.4150188475126031E-2</v>
      </c>
      <c r="O822">
        <v>7.6765150212124789E-3</v>
      </c>
      <c r="P822">
        <v>1.6186638229036644E-2</v>
      </c>
      <c r="Q822">
        <v>4.3769266287278883E-4</v>
      </c>
      <c r="R822">
        <v>6.1471979398616946E-4</v>
      </c>
      <c r="S822">
        <v>6.1146201556075606E-2</v>
      </c>
      <c r="T822">
        <v>1.0426012915064242</v>
      </c>
      <c r="U822">
        <v>0</v>
      </c>
      <c r="V822">
        <v>9.6575928839744293E-2</v>
      </c>
      <c r="W822">
        <v>3.589736958046108E-2</v>
      </c>
      <c r="X822">
        <v>7.3119041058794399E-3</v>
      </c>
      <c r="Y822">
        <v>1.6730646369047277E-3</v>
      </c>
    </row>
    <row r="823" spans="1:25" x14ac:dyDescent="0.25">
      <c r="A823" s="1096"/>
      <c r="B823" s="1455">
        <v>573</v>
      </c>
      <c r="C823" s="1100">
        <v>1.0072593791336408</v>
      </c>
      <c r="D823" s="1100">
        <v>0.96608078931724872</v>
      </c>
      <c r="E823" s="1100">
        <v>0.98249574101329362</v>
      </c>
      <c r="F823" s="1100">
        <v>0.98493576756945378</v>
      </c>
      <c r="G823" s="1100">
        <v>0.99779972724356736</v>
      </c>
      <c r="H823" s="1100">
        <v>0.97947218493837429</v>
      </c>
      <c r="I823" s="1100">
        <v>0.98112388064005607</v>
      </c>
      <c r="K823">
        <v>1.2962878059574718</v>
      </c>
      <c r="L823">
        <v>0</v>
      </c>
      <c r="M823">
        <v>6.144438676292665E-4</v>
      </c>
      <c r="N823">
        <v>5.3584979968052088E-2</v>
      </c>
      <c r="O823">
        <v>7.808790291979094E-3</v>
      </c>
      <c r="P823">
        <v>1.5806893810821846E-2</v>
      </c>
      <c r="Q823">
        <v>4.4418678442976318E-4</v>
      </c>
      <c r="R823">
        <v>6.125927503911068E-4</v>
      </c>
      <c r="S823">
        <v>5.9466131722040974E-2</v>
      </c>
      <c r="T823">
        <v>1.0173444740119197</v>
      </c>
      <c r="U823">
        <v>0</v>
      </c>
      <c r="V823">
        <v>9.7414841318809939E-2</v>
      </c>
      <c r="W823">
        <v>3.5572396048050903E-2</v>
      </c>
      <c r="X823">
        <v>7.1796875931858994E-3</v>
      </c>
      <c r="Y823">
        <v>1.6672755254186992E-3</v>
      </c>
    </row>
    <row r="824" spans="1:25" x14ac:dyDescent="0.25">
      <c r="A824" s="1096"/>
      <c r="B824" s="1455">
        <v>574</v>
      </c>
      <c r="C824" s="1100">
        <v>1.0036112072932388</v>
      </c>
      <c r="D824" s="1100">
        <v>0.98340303885942015</v>
      </c>
      <c r="E824" s="1100">
        <v>1.0010587189923614</v>
      </c>
      <c r="F824" s="1100">
        <v>0.97014857944065735</v>
      </c>
      <c r="G824" s="1100">
        <v>0.97305215256745214</v>
      </c>
      <c r="H824" s="1100">
        <v>1.0163232055863358</v>
      </c>
      <c r="I824" s="1100">
        <v>1.0310443004929344</v>
      </c>
      <c r="K824">
        <v>1.2877353524001192</v>
      </c>
      <c r="L824">
        <v>0</v>
      </c>
      <c r="M824">
        <v>6.1137740691207063E-4</v>
      </c>
      <c r="N824">
        <v>5.6401282545733969E-2</v>
      </c>
      <c r="O824">
        <v>7.7862264160407811E-3</v>
      </c>
      <c r="P824">
        <v>1.5850692071351629E-2</v>
      </c>
      <c r="Q824">
        <v>4.5128355956864643E-4</v>
      </c>
      <c r="R824">
        <v>6.0960231288746398E-4</v>
      </c>
      <c r="S824">
        <v>6.3303976132496428E-2</v>
      </c>
      <c r="T824">
        <v>1.0015302675490896</v>
      </c>
      <c r="U824">
        <v>0</v>
      </c>
      <c r="V824">
        <v>9.6327640180559684E-2</v>
      </c>
      <c r="W824">
        <v>3.7028510941642959E-2</v>
      </c>
      <c r="X824">
        <v>7.3981115573295373E-3</v>
      </c>
      <c r="Y824">
        <v>1.6591365403312414E-3</v>
      </c>
    </row>
    <row r="825" spans="1:25" x14ac:dyDescent="0.25">
      <c r="A825" s="1096"/>
      <c r="B825" s="1455">
        <v>575</v>
      </c>
      <c r="C825" s="1100">
        <v>1.0206700045942885</v>
      </c>
      <c r="D825" s="1100">
        <v>0.98980463626111748</v>
      </c>
      <c r="E825" s="1100">
        <v>0.99264662393269132</v>
      </c>
      <c r="F825" s="1100">
        <v>1.00945706645804</v>
      </c>
      <c r="G825" s="1100">
        <v>1.0445084949993837</v>
      </c>
      <c r="H825" s="1100">
        <v>0.98758840165716444</v>
      </c>
      <c r="I825" s="1100">
        <v>1.0171026994292498</v>
      </c>
      <c r="K825">
        <v>1.3239374378959465</v>
      </c>
      <c r="L825">
        <v>0</v>
      </c>
      <c r="M825">
        <v>5.9289925570223676E-4</v>
      </c>
      <c r="N825">
        <v>5.3319204827000054E-2</v>
      </c>
      <c r="O825">
        <v>7.6342171943644928E-3</v>
      </c>
      <c r="P825">
        <v>1.6305595170408367E-2</v>
      </c>
      <c r="Q825">
        <v>4.3874111792824029E-4</v>
      </c>
      <c r="R825">
        <v>5.9112772475866714E-4</v>
      </c>
      <c r="S825">
        <v>6.0305103409737139E-2</v>
      </c>
      <c r="T825">
        <v>1.0423638296798929</v>
      </c>
      <c r="U825">
        <v>0</v>
      </c>
      <c r="V825">
        <v>9.9362351177773672E-2</v>
      </c>
      <c r="W825">
        <v>3.5180959328432078E-2</v>
      </c>
      <c r="X825">
        <v>7.4203527197624734E-3</v>
      </c>
      <c r="Y825">
        <v>1.6088548015909965E-3</v>
      </c>
    </row>
    <row r="826" spans="1:25" x14ac:dyDescent="0.25">
      <c r="A826" s="1096"/>
      <c r="B826" s="1455">
        <v>576</v>
      </c>
      <c r="C826" s="1100">
        <v>1.0253904895311527</v>
      </c>
      <c r="D826" s="1100">
        <v>1.0034456338767639</v>
      </c>
      <c r="E826" s="1100">
        <v>0.98919088569095737</v>
      </c>
      <c r="F826" s="1100">
        <v>1.041098040044347</v>
      </c>
      <c r="G826" s="1100">
        <v>1.0439908352064049</v>
      </c>
      <c r="H826" s="1100">
        <v>1.0319957237153421</v>
      </c>
      <c r="I826" s="1100">
        <v>1.0217741446660054</v>
      </c>
      <c r="K826">
        <v>1.3608134882153848</v>
      </c>
      <c r="L826">
        <v>0</v>
      </c>
      <c r="M826">
        <v>6.1774589151846403E-4</v>
      </c>
      <c r="N826">
        <v>5.4983367528069364E-2</v>
      </c>
      <c r="O826">
        <v>7.5567564224736719E-3</v>
      </c>
      <c r="P826">
        <v>1.6717052842677247E-2</v>
      </c>
      <c r="Q826">
        <v>4.3277588944052838E-4</v>
      </c>
      <c r="R826">
        <v>6.1597954548934792E-4</v>
      </c>
      <c r="S826">
        <v>6.1207105650013728E-2</v>
      </c>
      <c r="T826">
        <v>1.0751443134101379</v>
      </c>
      <c r="U826">
        <v>0</v>
      </c>
      <c r="V826">
        <v>9.9221686879622004E-2</v>
      </c>
      <c r="W826">
        <v>3.6354131315426898E-2</v>
      </c>
      <c r="X826">
        <v>7.521571358331933E-3</v>
      </c>
      <c r="Y826">
        <v>1.6764932652194072E-3</v>
      </c>
    </row>
    <row r="827" spans="1:25" x14ac:dyDescent="0.25">
      <c r="A827" s="1096"/>
      <c r="B827" s="1455">
        <v>577</v>
      </c>
      <c r="C827" s="1100">
        <v>1.0299144669544862</v>
      </c>
      <c r="D827" s="1100">
        <v>0.99367191070788785</v>
      </c>
      <c r="E827" s="1100">
        <v>0.99307628162135775</v>
      </c>
      <c r="F827" s="1100">
        <v>0.96950446170092475</v>
      </c>
      <c r="G827" s="1100">
        <v>1.0227217907252364</v>
      </c>
      <c r="H827" s="1100">
        <v>1.0110910558923387</v>
      </c>
      <c r="I827" s="1100">
        <v>0.97377042093321142</v>
      </c>
      <c r="K827">
        <v>1.2791701076222919</v>
      </c>
      <c r="L827">
        <v>0</v>
      </c>
      <c r="M827">
        <v>6.0008855487799525E-4</v>
      </c>
      <c r="N827">
        <v>5.4039634581872435E-2</v>
      </c>
      <c r="O827">
        <v>7.55400362547415E-3</v>
      </c>
      <c r="P827">
        <v>1.5699360548923437E-2</v>
      </c>
      <c r="Q827">
        <v>4.3431949387553521E-4</v>
      </c>
      <c r="R827">
        <v>5.9833722122287726E-4</v>
      </c>
      <c r="S827">
        <v>5.7778443937695427E-2</v>
      </c>
      <c r="T827">
        <v>1.0010963433473614</v>
      </c>
      <c r="U827">
        <v>0</v>
      </c>
      <c r="V827">
        <v>9.8090986532342814E-2</v>
      </c>
      <c r="W827">
        <v>3.5647155993281325E-2</v>
      </c>
      <c r="X827">
        <v>7.2031342207642861E-3</v>
      </c>
      <c r="Y827">
        <v>1.6284766743567055E-3</v>
      </c>
    </row>
    <row r="828" spans="1:25" x14ac:dyDescent="0.25">
      <c r="A828" s="1096"/>
      <c r="B828" s="1455">
        <v>578</v>
      </c>
      <c r="C828" s="1100">
        <v>1.0302136811586851</v>
      </c>
      <c r="D828" s="1100">
        <v>0.98545718945650485</v>
      </c>
      <c r="E828" s="1100">
        <v>0.98669558810721592</v>
      </c>
      <c r="F828" s="1100">
        <v>0.98739150836984324</v>
      </c>
      <c r="G828" s="1100">
        <v>1.019353732715802</v>
      </c>
      <c r="H828" s="1100">
        <v>1.0043724398402425</v>
      </c>
      <c r="I828" s="1100">
        <v>0.9708994085663557</v>
      </c>
      <c r="K828">
        <v>1.2969928338054453</v>
      </c>
      <c r="L828">
        <v>0</v>
      </c>
      <c r="M828">
        <v>6.0586356482816817E-4</v>
      </c>
      <c r="N828">
        <v>5.3516176584426575E-2</v>
      </c>
      <c r="O828">
        <v>7.5754007113692486E-3</v>
      </c>
      <c r="P828">
        <v>1.5871929281749859E-2</v>
      </c>
      <c r="Q828">
        <v>4.3274955731578923E-4</v>
      </c>
      <c r="R828">
        <v>6.0408354898774843E-4</v>
      </c>
      <c r="S828">
        <v>5.7647753905447796E-2</v>
      </c>
      <c r="T828">
        <v>1.0197556790405806</v>
      </c>
      <c r="U828">
        <v>0</v>
      </c>
      <c r="V828">
        <v>9.7914014514127998E-2</v>
      </c>
      <c r="W828">
        <v>3.5437067068595063E-2</v>
      </c>
      <c r="X828">
        <v>7.1997268734158501E-3</v>
      </c>
      <c r="Y828">
        <v>1.6441162842562463E-3</v>
      </c>
    </row>
    <row r="829" spans="1:25" x14ac:dyDescent="0.25">
      <c r="A829" s="1096"/>
      <c r="B829" s="1455">
        <v>579</v>
      </c>
      <c r="C829" s="1100">
        <v>1.0140983588446113</v>
      </c>
      <c r="D829" s="1100">
        <v>1.0111405197239871</v>
      </c>
      <c r="E829" s="1100">
        <v>0.99938196364238252</v>
      </c>
      <c r="F829" s="1100">
        <v>0.99088604535461611</v>
      </c>
      <c r="G829" s="1100">
        <v>0.96054784887604217</v>
      </c>
      <c r="H829" s="1100">
        <v>1.0042223611178875</v>
      </c>
      <c r="I829" s="1100">
        <v>0.97881287076173928</v>
      </c>
      <c r="K829">
        <v>1.3000478160837909</v>
      </c>
      <c r="L829">
        <v>0</v>
      </c>
      <c r="M829">
        <v>5.9329602644996645E-4</v>
      </c>
      <c r="N829">
        <v>5.4454749516497106E-2</v>
      </c>
      <c r="O829">
        <v>7.6200431944205204E-3</v>
      </c>
      <c r="P829">
        <v>1.6042568597475115E-2</v>
      </c>
      <c r="Q829">
        <v>4.4090805097908017E-4</v>
      </c>
      <c r="R829">
        <v>5.9155267330144592E-4</v>
      </c>
      <c r="S829">
        <v>5.8239925326606774E-2</v>
      </c>
      <c r="T829">
        <v>1.0229879775147146</v>
      </c>
      <c r="U829">
        <v>0</v>
      </c>
      <c r="V829">
        <v>9.5465505224663058E-2</v>
      </c>
      <c r="W829">
        <v>3.5786214680578569E-2</v>
      </c>
      <c r="X829">
        <v>7.4016559595632171E-3</v>
      </c>
      <c r="Y829">
        <v>1.6100113714401911E-3</v>
      </c>
    </row>
    <row r="830" spans="1:25" x14ac:dyDescent="0.25">
      <c r="A830" s="1096"/>
      <c r="B830" s="1455">
        <v>580</v>
      </c>
      <c r="C830" s="1100">
        <v>1.0012245123910632</v>
      </c>
      <c r="D830" s="1100">
        <v>1.0154907701462825</v>
      </c>
      <c r="E830" s="1100">
        <v>1.025549142839361</v>
      </c>
      <c r="F830" s="1100">
        <v>0.98393445252074774</v>
      </c>
      <c r="G830" s="1100">
        <v>1.016929147680198</v>
      </c>
      <c r="H830" s="1100">
        <v>0.99545952690094297</v>
      </c>
      <c r="I830" s="1100">
        <v>1.0110360369261253</v>
      </c>
      <c r="K830">
        <v>1.3000889604090735</v>
      </c>
      <c r="L830">
        <v>0</v>
      </c>
      <c r="M830">
        <v>5.6318348244928222E-4</v>
      </c>
      <c r="N830">
        <v>5.5937809116328903E-2</v>
      </c>
      <c r="O830">
        <v>7.7111685801213702E-3</v>
      </c>
      <c r="P830">
        <v>1.631984700594476E-2</v>
      </c>
      <c r="Q830">
        <v>4.579896396837945E-4</v>
      </c>
      <c r="R830">
        <v>5.6151404512108302E-4</v>
      </c>
      <c r="S830">
        <v>6.0547819944313581E-2</v>
      </c>
      <c r="T830">
        <v>1.0150543557879379</v>
      </c>
      <c r="U830">
        <v>0</v>
      </c>
      <c r="V830">
        <v>9.8536748471766203E-2</v>
      </c>
      <c r="W830">
        <v>3.6199041410061243E-2</v>
      </c>
      <c r="X830">
        <v>7.7975937624787323E-3</v>
      </c>
      <c r="Y830">
        <v>1.5282561277643616E-3</v>
      </c>
    </row>
    <row r="831" spans="1:25" x14ac:dyDescent="0.25">
      <c r="A831" s="1096"/>
      <c r="B831" s="1455">
        <v>581</v>
      </c>
      <c r="C831" s="1100">
        <v>0.98304900051870125</v>
      </c>
      <c r="D831" s="1100">
        <v>0.9707665742429139</v>
      </c>
      <c r="E831" s="1100">
        <v>0.99969630975522883</v>
      </c>
      <c r="F831" s="1100">
        <v>0.96415954117808922</v>
      </c>
      <c r="G831" s="1100">
        <v>0.97043098351372903</v>
      </c>
      <c r="H831" s="1100">
        <v>1.010567637902595</v>
      </c>
      <c r="I831" s="1100">
        <v>1.0149740312304478</v>
      </c>
      <c r="K831">
        <v>1.2845352209561787</v>
      </c>
      <c r="L831">
        <v>0</v>
      </c>
      <c r="M831">
        <v>6.2561531396131056E-4</v>
      </c>
      <c r="N831">
        <v>5.7476749434752498E-2</v>
      </c>
      <c r="O831">
        <v>7.9899736003222095E-3</v>
      </c>
      <c r="P831">
        <v>1.5763951928832044E-2</v>
      </c>
      <c r="Q831">
        <v>4.6245896317930244E-4</v>
      </c>
      <c r="R831">
        <v>6.2378853583448487E-4</v>
      </c>
      <c r="S831">
        <v>6.3878220045482798E-2</v>
      </c>
      <c r="T831">
        <v>0.9953865841103452</v>
      </c>
      <c r="U831">
        <v>0</v>
      </c>
      <c r="V831">
        <v>9.6715839873666776E-2</v>
      </c>
      <c r="W831">
        <v>3.7765133849673303E-2</v>
      </c>
      <c r="X831">
        <v>7.4003891653444155E-3</v>
      </c>
      <c r="Y831">
        <v>1.6977467627058943E-3</v>
      </c>
    </row>
    <row r="832" spans="1:25" x14ac:dyDescent="0.25">
      <c r="A832" s="1096"/>
      <c r="B832" s="1455">
        <v>582</v>
      </c>
      <c r="C832" s="1100">
        <v>1.0317301306225743</v>
      </c>
      <c r="D832" s="1100">
        <v>0.99940635838444958</v>
      </c>
      <c r="E832" s="1100">
        <v>0.99276973211999231</v>
      </c>
      <c r="F832" s="1100">
        <v>0.98108593252616583</v>
      </c>
      <c r="G832" s="1100">
        <v>0.9935087339909876</v>
      </c>
      <c r="H832" s="1100">
        <v>0.97506168078734956</v>
      </c>
      <c r="I832" s="1100">
        <v>0.99916894353631425</v>
      </c>
      <c r="K832">
        <v>1.2863347501856957</v>
      </c>
      <c r="L832">
        <v>0</v>
      </c>
      <c r="M832">
        <v>5.7672453128363148E-4</v>
      </c>
      <c r="N832">
        <v>5.1881924684036448E-2</v>
      </c>
      <c r="O832">
        <v>7.5233001555093564E-3</v>
      </c>
      <c r="P832">
        <v>1.5840435535962795E-2</v>
      </c>
      <c r="Q832">
        <v>4.3242040059110845E-4</v>
      </c>
      <c r="R832">
        <v>5.749791908345297E-4</v>
      </c>
      <c r="S832">
        <v>5.7933117885613332E-2</v>
      </c>
      <c r="T832">
        <v>1.0130642186937433</v>
      </c>
      <c r="U832">
        <v>0</v>
      </c>
      <c r="V832">
        <v>9.6635135978148476E-2</v>
      </c>
      <c r="W832">
        <v>3.4230097198987008E-2</v>
      </c>
      <c r="X832">
        <v>7.230941177940195E-3</v>
      </c>
      <c r="Y832">
        <v>1.5649038156122718E-3</v>
      </c>
    </row>
    <row r="833" spans="1:25" x14ac:dyDescent="0.25">
      <c r="A833" s="1096"/>
      <c r="B833" s="1455">
        <v>583</v>
      </c>
      <c r="C833" s="1100">
        <v>0.97905841100750257</v>
      </c>
      <c r="D833" s="1100">
        <v>1.0289249993810048</v>
      </c>
      <c r="E833" s="1100">
        <v>1.0081198296440554</v>
      </c>
      <c r="F833" s="1100">
        <v>1.0082761888651728</v>
      </c>
      <c r="G833" s="1100">
        <v>0.96601409457368848</v>
      </c>
      <c r="H833" s="1100">
        <v>1.0018960540047841</v>
      </c>
      <c r="I833" s="1100">
        <v>0.9707641855266933</v>
      </c>
      <c r="K833">
        <v>1.3237043656823224</v>
      </c>
      <c r="L833">
        <v>0</v>
      </c>
      <c r="M833">
        <v>5.9790289259280119E-4</v>
      </c>
      <c r="N833">
        <v>5.6344791948677593E-2</v>
      </c>
      <c r="O833">
        <v>7.8400728229753962E-3</v>
      </c>
      <c r="P833">
        <v>1.641900782011262E-2</v>
      </c>
      <c r="Q833">
        <v>4.5763291433365357E-4</v>
      </c>
      <c r="R833">
        <v>5.961419232036109E-4</v>
      </c>
      <c r="S833">
        <v>5.9210993427443348E-2</v>
      </c>
      <c r="T833">
        <v>1.0406802610009616</v>
      </c>
      <c r="U833">
        <v>0</v>
      </c>
      <c r="V833">
        <v>9.6614314507912302E-2</v>
      </c>
      <c r="W833">
        <v>3.6837064405497728E-2</v>
      </c>
      <c r="X833">
        <v>7.6794860069683253E-3</v>
      </c>
      <c r="Y833">
        <v>1.6225017968280605E-3</v>
      </c>
    </row>
    <row r="834" spans="1:25" x14ac:dyDescent="0.25">
      <c r="A834" s="1096"/>
      <c r="B834" s="1455">
        <v>584</v>
      </c>
      <c r="C834" s="1100">
        <v>1.0001608279936987</v>
      </c>
      <c r="D834" s="1100">
        <v>1.0331378175915651</v>
      </c>
      <c r="E834" s="1100">
        <v>0.98716642511932462</v>
      </c>
      <c r="F834" s="1100">
        <v>1.0074012731704161</v>
      </c>
      <c r="G834" s="1100">
        <v>1.0115051373367627</v>
      </c>
      <c r="H834" s="1100">
        <v>0.99809634155266358</v>
      </c>
      <c r="I834" s="1100">
        <v>0.98081644842487126</v>
      </c>
      <c r="K834">
        <v>1.3195811050649484</v>
      </c>
      <c r="L834">
        <v>0</v>
      </c>
      <c r="M834">
        <v>6.0796488378488101E-4</v>
      </c>
      <c r="N834">
        <v>5.3777309163418816E-2</v>
      </c>
      <c r="O834">
        <v>7.6570474718021912E-3</v>
      </c>
      <c r="P834">
        <v>1.6170019118728115E-2</v>
      </c>
      <c r="Q834">
        <v>4.3762225256246636E-4</v>
      </c>
      <c r="R834">
        <v>6.0616746262660403E-4</v>
      </c>
      <c r="S834">
        <v>5.8301920090948797E-2</v>
      </c>
      <c r="T834">
        <v>1.0404070095064293</v>
      </c>
      <c r="U834">
        <v>0</v>
      </c>
      <c r="V834">
        <v>9.8257563836812362E-2</v>
      </c>
      <c r="W834">
        <v>3.5599915348078069E-2</v>
      </c>
      <c r="X834">
        <v>7.3247076871049343E-3</v>
      </c>
      <c r="Y834">
        <v>1.6497880102192648E-3</v>
      </c>
    </row>
    <row r="835" spans="1:25" x14ac:dyDescent="0.25">
      <c r="A835" s="1096"/>
      <c r="B835" s="1455">
        <v>585</v>
      </c>
      <c r="C835" s="1100">
        <v>1.0163602243660934</v>
      </c>
      <c r="D835" s="1100">
        <v>1.0057593733280323</v>
      </c>
      <c r="E835" s="1100">
        <v>1.024328293088429</v>
      </c>
      <c r="F835" s="1100">
        <v>0.99144536818251094</v>
      </c>
      <c r="G835" s="1100">
        <v>0.99162592631276103</v>
      </c>
      <c r="H835" s="1100">
        <v>1.0281117861457065</v>
      </c>
      <c r="I835" s="1100">
        <v>0.99177385384938566</v>
      </c>
      <c r="K835">
        <v>1.3074179551656666</v>
      </c>
      <c r="L835">
        <v>0</v>
      </c>
      <c r="M835">
        <v>5.7666980653597042E-4</v>
      </c>
      <c r="N835">
        <v>5.7072226813504517E-2</v>
      </c>
      <c r="O835">
        <v>7.6253529311105794E-3</v>
      </c>
      <c r="P835">
        <v>1.638061572376499E-2</v>
      </c>
      <c r="Q835">
        <v>4.5234493521614501E-4</v>
      </c>
      <c r="R835">
        <v>5.7501468193620509E-4</v>
      </c>
      <c r="S835">
        <v>5.9782633690768958E-2</v>
      </c>
      <c r="T835">
        <v>1.0228379586853165</v>
      </c>
      <c r="U835">
        <v>0</v>
      </c>
      <c r="V835">
        <v>9.6942313992712331E-2</v>
      </c>
      <c r="W835">
        <v>3.6959444386193994E-2</v>
      </c>
      <c r="X835">
        <v>7.8017187209860972E-3</v>
      </c>
      <c r="Y835">
        <v>1.5650004106913934E-3</v>
      </c>
    </row>
    <row r="836" spans="1:25" x14ac:dyDescent="0.25">
      <c r="A836" s="1096"/>
      <c r="B836" s="1455">
        <v>586</v>
      </c>
      <c r="C836" s="1100">
        <v>0.97769835331259669</v>
      </c>
      <c r="D836" s="1100">
        <v>1.019394014525546</v>
      </c>
      <c r="E836" s="1100">
        <v>0.99837066388063012</v>
      </c>
      <c r="F836" s="1100">
        <v>0.9630266978601647</v>
      </c>
      <c r="G836" s="1100">
        <v>0.98055901389342048</v>
      </c>
      <c r="H836" s="1100">
        <v>0.99153513485695088</v>
      </c>
      <c r="I836" s="1100">
        <v>0.97759454775352417</v>
      </c>
      <c r="K836">
        <v>1.2763179246024865</v>
      </c>
      <c r="L836">
        <v>0</v>
      </c>
      <c r="M836">
        <v>6.0690890604098169E-4</v>
      </c>
      <c r="N836">
        <v>5.5532141953133857E-2</v>
      </c>
      <c r="O836">
        <v>7.8778283790635738E-3</v>
      </c>
      <c r="P836">
        <v>1.5684332226177551E-2</v>
      </c>
      <c r="Q836">
        <v>4.5536050492642216E-4</v>
      </c>
      <c r="R836">
        <v>6.0510273356034088E-4</v>
      </c>
      <c r="S836">
        <v>5.9685523923371529E-2</v>
      </c>
      <c r="T836">
        <v>0.99425508629641124</v>
      </c>
      <c r="U836">
        <v>0</v>
      </c>
      <c r="V836">
        <v>9.734228610220215E-2</v>
      </c>
      <c r="W836">
        <v>3.6516209719422675E-2</v>
      </c>
      <c r="X836">
        <v>7.3240715015677436E-3</v>
      </c>
      <c r="Y836">
        <v>1.6468901686887388E-3</v>
      </c>
    </row>
    <row r="837" spans="1:25" x14ac:dyDescent="0.25">
      <c r="A837" s="1096"/>
      <c r="B837" s="1455">
        <v>587</v>
      </c>
      <c r="C837" s="1100">
        <v>1.0000366865297259</v>
      </c>
      <c r="D837" s="1100">
        <v>0.9827486431102056</v>
      </c>
      <c r="E837" s="1100">
        <v>0.98571702249377435</v>
      </c>
      <c r="F837" s="1100">
        <v>0.98248277404809503</v>
      </c>
      <c r="G837" s="1100">
        <v>0.99328358322722987</v>
      </c>
      <c r="H837" s="1100">
        <v>0.98039996348029801</v>
      </c>
      <c r="I837" s="1100">
        <v>1.005734825643761</v>
      </c>
      <c r="K837">
        <v>1.2954039969436379</v>
      </c>
      <c r="L837">
        <v>0</v>
      </c>
      <c r="M837">
        <v>6.1115657173972822E-4</v>
      </c>
      <c r="N837">
        <v>5.3820305761067826E-2</v>
      </c>
      <c r="O837">
        <v>7.8123501114975335E-3</v>
      </c>
      <c r="P837">
        <v>1.5828408457262747E-2</v>
      </c>
      <c r="Q837">
        <v>4.4584330894051176E-4</v>
      </c>
      <c r="R837">
        <v>6.0931710043211039E-4</v>
      </c>
      <c r="S837">
        <v>6.0866905387590126E-2</v>
      </c>
      <c r="T837">
        <v>1.0147150617763203</v>
      </c>
      <c r="U837">
        <v>0</v>
      </c>
      <c r="V837">
        <v>9.7377606404172895E-2</v>
      </c>
      <c r="W837">
        <v>3.5659414730423222E-2</v>
      </c>
      <c r="X837">
        <v>7.2215801916201815E-3</v>
      </c>
      <c r="Y837">
        <v>1.6583602860480297E-3</v>
      </c>
    </row>
    <row r="838" spans="1:25" x14ac:dyDescent="0.25">
      <c r="A838" s="1096"/>
      <c r="B838" s="1455">
        <v>588</v>
      </c>
      <c r="C838" s="1100">
        <v>1.0045746074621429</v>
      </c>
      <c r="D838" s="1100">
        <v>0.98950429116596894</v>
      </c>
      <c r="E838" s="1100">
        <v>0.99643022760774203</v>
      </c>
      <c r="F838" s="1100">
        <v>1.01931614593836</v>
      </c>
      <c r="G838" s="1100">
        <v>1.0129322456794203</v>
      </c>
      <c r="H838" s="1100">
        <v>1.0425658661557191</v>
      </c>
      <c r="I838" s="1100">
        <v>0.9863718802947572</v>
      </c>
      <c r="K838">
        <v>1.3409227170081359</v>
      </c>
      <c r="L838">
        <v>0</v>
      </c>
      <c r="M838">
        <v>6.3104263950296377E-4</v>
      </c>
      <c r="N838">
        <v>5.7411188810626075E-2</v>
      </c>
      <c r="O838">
        <v>7.7584027178147271E-3</v>
      </c>
      <c r="P838">
        <v>1.6484052714295375E-2</v>
      </c>
      <c r="Q838">
        <v>4.4758225296242756E-4</v>
      </c>
      <c r="R838">
        <v>6.292565672572038E-4</v>
      </c>
      <c r="S838">
        <v>6.1088583205935729E-2</v>
      </c>
      <c r="T838">
        <v>1.0524288772915273</v>
      </c>
      <c r="U838">
        <v>0</v>
      </c>
      <c r="V838">
        <v>9.8228073015377171E-2</v>
      </c>
      <c r="W838">
        <v>3.7795465948736125E-2</v>
      </c>
      <c r="X838">
        <v>7.5696481814023055E-3</v>
      </c>
      <c r="Y838">
        <v>1.7126289417024616E-3</v>
      </c>
    </row>
    <row r="839" spans="1:25" x14ac:dyDescent="0.25">
      <c r="A839" s="1096"/>
      <c r="B839" s="1455">
        <v>589</v>
      </c>
      <c r="C839" s="1100">
        <v>1.0020369398976423</v>
      </c>
      <c r="D839" s="1100">
        <v>1.0172466924724921</v>
      </c>
      <c r="E839" s="1100">
        <v>1.0088769966166251</v>
      </c>
      <c r="F839" s="1100">
        <v>0.97462802760293898</v>
      </c>
      <c r="G839" s="1100">
        <v>0.99671820680776035</v>
      </c>
      <c r="H839" s="1100">
        <v>0.98221240633829809</v>
      </c>
      <c r="I839" s="1100">
        <v>0.97519447352009991</v>
      </c>
      <c r="K839">
        <v>1.2841750526857671</v>
      </c>
      <c r="L839">
        <v>0</v>
      </c>
      <c r="M839">
        <v>5.7443150575436127E-4</v>
      </c>
      <c r="N839">
        <v>5.4253595331449349E-2</v>
      </c>
      <c r="O839">
        <v>7.6955267287332025E-3</v>
      </c>
      <c r="P839">
        <v>1.5945446432601186E-2</v>
      </c>
      <c r="Q839">
        <v>4.4953601794176326E-4</v>
      </c>
      <c r="R839">
        <v>5.7270576063224855E-4</v>
      </c>
      <c r="S839">
        <v>5.7893250298840369E-2</v>
      </c>
      <c r="T839">
        <v>1.0059289333693622</v>
      </c>
      <c r="U839">
        <v>0</v>
      </c>
      <c r="V839">
        <v>9.7520061174394851E-2</v>
      </c>
      <c r="W839">
        <v>3.5454031213998469E-2</v>
      </c>
      <c r="X839">
        <v>7.47768157552772E-3</v>
      </c>
      <c r="Y839">
        <v>1.5587162880377275E-3</v>
      </c>
    </row>
    <row r="840" spans="1:25" x14ac:dyDescent="0.25">
      <c r="A840" s="1096"/>
      <c r="B840" s="1455">
        <v>590</v>
      </c>
      <c r="C840" s="1100">
        <v>1.0015022827217794</v>
      </c>
      <c r="D840" s="1100">
        <v>1.0006521897309897</v>
      </c>
      <c r="E840" s="1100">
        <v>1.0221945668533652</v>
      </c>
      <c r="F840" s="1100">
        <v>0.98632169663581348</v>
      </c>
      <c r="G840" s="1100">
        <v>1.0276218039888443</v>
      </c>
      <c r="H840" s="1100">
        <v>0.98715737059236763</v>
      </c>
      <c r="I840" s="1100">
        <v>1.027218685618944</v>
      </c>
      <c r="K840">
        <v>1.3039026452671076</v>
      </c>
      <c r="L840">
        <v>0</v>
      </c>
      <c r="M840">
        <v>5.6556481708904731E-4</v>
      </c>
      <c r="N840">
        <v>5.5607483730708972E-2</v>
      </c>
      <c r="O840">
        <v>7.7537296343261272E-3</v>
      </c>
      <c r="P840">
        <v>1.6338732330394231E-2</v>
      </c>
      <c r="Q840">
        <v>4.5898748996214903E-4</v>
      </c>
      <c r="R840">
        <v>5.6387422119186204E-4</v>
      </c>
      <c r="S840">
        <v>6.1724013055217485E-2</v>
      </c>
      <c r="T840">
        <v>1.0176132422699997</v>
      </c>
      <c r="U840">
        <v>0</v>
      </c>
      <c r="V840">
        <v>9.9043439074487816E-2</v>
      </c>
      <c r="W840">
        <v>3.6055757146055419E-2</v>
      </c>
      <c r="X840">
        <v>7.7742713828541409E-3</v>
      </c>
      <c r="Y840">
        <v>1.5346797489971889E-3</v>
      </c>
    </row>
    <row r="841" spans="1:25" x14ac:dyDescent="0.25">
      <c r="A841" s="1096"/>
      <c r="B841" s="1455">
        <v>591</v>
      </c>
      <c r="C841" s="1100">
        <v>1.0209253765504958</v>
      </c>
      <c r="D841" s="1100">
        <v>1.042570504304916</v>
      </c>
      <c r="E841" s="1100">
        <v>0.98527767741829841</v>
      </c>
      <c r="F841" s="1100">
        <v>1.0044388400874193</v>
      </c>
      <c r="G841" s="1100">
        <v>0.99366036472288655</v>
      </c>
      <c r="H841" s="1100">
        <v>1.0085064274420223</v>
      </c>
      <c r="I841" s="1100">
        <v>0.95909307548981593</v>
      </c>
      <c r="K841">
        <v>1.311014297185098</v>
      </c>
      <c r="L841">
        <v>0</v>
      </c>
      <c r="M841">
        <v>6.0197644843456297E-4</v>
      </c>
      <c r="N841">
        <v>5.294593653667036E-2</v>
      </c>
      <c r="O841">
        <v>7.4736441579139334E-3</v>
      </c>
      <c r="P841">
        <v>1.6055191947771479E-2</v>
      </c>
      <c r="Q841">
        <v>4.2632384995534866E-4</v>
      </c>
      <c r="R841">
        <v>6.0021510255275912E-4</v>
      </c>
      <c r="S841">
        <v>5.5871910307110188E-2</v>
      </c>
      <c r="T841">
        <v>1.0374047662223485</v>
      </c>
      <c r="U841">
        <v>0</v>
      </c>
      <c r="V841">
        <v>9.6888413094764037E-2</v>
      </c>
      <c r="W841">
        <v>3.5089355940563942E-2</v>
      </c>
      <c r="X841">
        <v>7.2269288255891089E-3</v>
      </c>
      <c r="Y841">
        <v>1.63358764829323E-3</v>
      </c>
    </row>
    <row r="842" spans="1:25" x14ac:dyDescent="0.25">
      <c r="A842" s="1096"/>
      <c r="B842" s="1455">
        <v>592</v>
      </c>
      <c r="C842" s="1100">
        <v>0.99398532426451069</v>
      </c>
      <c r="D842" s="1100">
        <v>0.99101541873230492</v>
      </c>
      <c r="E842" s="1100">
        <v>1.0100130491212456</v>
      </c>
      <c r="F842" s="1100">
        <v>0.99210640100271275</v>
      </c>
      <c r="G842" s="1100">
        <v>1.003439804958439</v>
      </c>
      <c r="H842" s="1100">
        <v>0.97297743464261144</v>
      </c>
      <c r="I842" s="1100">
        <v>1.0455503540688962</v>
      </c>
      <c r="K842">
        <v>1.3095301082846287</v>
      </c>
      <c r="L842">
        <v>0</v>
      </c>
      <c r="M842">
        <v>5.7829947609145814E-4</v>
      </c>
      <c r="N842">
        <v>5.48050057430709E-2</v>
      </c>
      <c r="O842">
        <v>7.8396393151837912E-3</v>
      </c>
      <c r="P842">
        <v>1.6285942017245602E-2</v>
      </c>
      <c r="Q842">
        <v>4.584749161002407E-4</v>
      </c>
      <c r="R842">
        <v>5.7654562042996156E-4</v>
      </c>
      <c r="S842">
        <v>6.3160977196089957E-2</v>
      </c>
      <c r="T842">
        <v>1.023935406735573</v>
      </c>
      <c r="U842">
        <v>0</v>
      </c>
      <c r="V842">
        <v>9.8046897170707387E-2</v>
      </c>
      <c r="W842">
        <v>3.5790376262490105E-2</v>
      </c>
      <c r="X842">
        <v>7.63997566323162E-3</v>
      </c>
      <c r="Y842">
        <v>1.5691671205976599E-3</v>
      </c>
    </row>
    <row r="843" spans="1:25" x14ac:dyDescent="0.25">
      <c r="A843" s="1096"/>
      <c r="B843" s="1455">
        <v>593</v>
      </c>
      <c r="C843" s="1100">
        <v>0.98863171311221243</v>
      </c>
      <c r="D843" s="1100">
        <v>1.0057233196437994</v>
      </c>
      <c r="E843" s="1100">
        <v>0.99636099179246285</v>
      </c>
      <c r="F843" s="1100">
        <v>1.0230357121234115</v>
      </c>
      <c r="G843" s="1100">
        <v>0.99390611277251084</v>
      </c>
      <c r="H843" s="1100">
        <v>1.017801138377096</v>
      </c>
      <c r="I843" s="1100">
        <v>1.0249421492546036</v>
      </c>
      <c r="K843">
        <v>1.3450893168578926</v>
      </c>
      <c r="L843">
        <v>0</v>
      </c>
      <c r="M843">
        <v>6.2201920825108068E-4</v>
      </c>
      <c r="N843">
        <v>5.6574505663841368E-2</v>
      </c>
      <c r="O843">
        <v>7.832396990769935E-3</v>
      </c>
      <c r="P843">
        <v>1.6556566152958169E-2</v>
      </c>
      <c r="Q843">
        <v>4.5181947454501153E-4</v>
      </c>
      <c r="R843">
        <v>6.2021583890921111E-4</v>
      </c>
      <c r="S843">
        <v>6.316168920700406E-2</v>
      </c>
      <c r="T843">
        <v>1.0562713903770102</v>
      </c>
      <c r="U843">
        <v>0</v>
      </c>
      <c r="V843">
        <v>9.77054041325153E-2</v>
      </c>
      <c r="W843">
        <v>3.7246189961871602E-2</v>
      </c>
      <c r="X843">
        <v>7.6031352073043026E-3</v>
      </c>
      <c r="Y843">
        <v>1.6880230594145244E-3</v>
      </c>
    </row>
    <row r="844" spans="1:25" x14ac:dyDescent="0.25">
      <c r="A844" s="1096"/>
      <c r="B844" s="1455">
        <v>594</v>
      </c>
      <c r="C844" s="1100">
        <v>0.96569416424077337</v>
      </c>
      <c r="D844" s="1100">
        <v>0.99669676571836574</v>
      </c>
      <c r="E844" s="1100">
        <v>1.0107942980638687</v>
      </c>
      <c r="F844" s="1100">
        <v>1.0438360367754624</v>
      </c>
      <c r="G844" s="1100">
        <v>0.99191917236478766</v>
      </c>
      <c r="H844" s="1100">
        <v>1.0060379111004738</v>
      </c>
      <c r="I844" s="1100">
        <v>1.0254814518198796</v>
      </c>
      <c r="K844">
        <v>1.3716446693186168</v>
      </c>
      <c r="L844">
        <v>0</v>
      </c>
      <c r="M844">
        <v>6.1306533925582437E-4</v>
      </c>
      <c r="N844">
        <v>5.8242753222536192E-2</v>
      </c>
      <c r="O844">
        <v>8.0510798979858134E-3</v>
      </c>
      <c r="P844">
        <v>1.7051818222789027E-2</v>
      </c>
      <c r="Q844">
        <v>4.7120807911412663E-4</v>
      </c>
      <c r="R844">
        <v>6.1126714653716194E-4</v>
      </c>
      <c r="S844">
        <v>6.4641955440764995E-2</v>
      </c>
      <c r="T844">
        <v>1.0773006247317256</v>
      </c>
      <c r="U844">
        <v>0</v>
      </c>
      <c r="V844">
        <v>9.8220968026567171E-2</v>
      </c>
      <c r="W844">
        <v>3.8017882512910606E-2</v>
      </c>
      <c r="X844">
        <v>7.9845097082269709E-3</v>
      </c>
      <c r="Y844">
        <v>1.6636676687134539E-3</v>
      </c>
    </row>
    <row r="845" spans="1:25" x14ac:dyDescent="0.25">
      <c r="A845" s="1096"/>
      <c r="B845" s="1455">
        <v>595</v>
      </c>
      <c r="C845" s="1100">
        <v>0.99072419642366671</v>
      </c>
      <c r="D845" s="1100">
        <v>0.99846113827205418</v>
      </c>
      <c r="E845" s="1100">
        <v>0.9983539053804521</v>
      </c>
      <c r="F845" s="1100">
        <v>1.0115802193431056</v>
      </c>
      <c r="G845" s="1100">
        <v>1.0147015780622342</v>
      </c>
      <c r="H845" s="1100">
        <v>1.0128959883767956</v>
      </c>
      <c r="I845" s="1100">
        <v>1.0256277485518071</v>
      </c>
      <c r="K845">
        <v>1.3337584818190571</v>
      </c>
      <c r="L845">
        <v>0</v>
      </c>
      <c r="M845">
        <v>6.1695263867828304E-4</v>
      </c>
      <c r="N845">
        <v>5.6451837980504758E-2</v>
      </c>
      <c r="O845">
        <v>7.8390379027220708E-3</v>
      </c>
      <c r="P845">
        <v>1.6432351286039436E-2</v>
      </c>
      <c r="Q845">
        <v>4.5311066717371168E-4</v>
      </c>
      <c r="R845">
        <v>6.1515529638720302E-4</v>
      </c>
      <c r="S845">
        <v>6.3162374534466006E-2</v>
      </c>
      <c r="T845">
        <v>1.0443835744622416</v>
      </c>
      <c r="U845">
        <v>0</v>
      </c>
      <c r="V845">
        <v>9.8660695733115436E-2</v>
      </c>
      <c r="W845">
        <v>3.7121343445731703E-2</v>
      </c>
      <c r="X845">
        <v>7.5817032184765558E-3</v>
      </c>
      <c r="Y845">
        <v>1.674249930877012E-3</v>
      </c>
    </row>
    <row r="846" spans="1:25" x14ac:dyDescent="0.25">
      <c r="A846" s="1096"/>
      <c r="B846" s="1455">
        <v>596</v>
      </c>
      <c r="C846" s="1100">
        <v>1.0253083899705309</v>
      </c>
      <c r="D846" s="1100">
        <v>0.99724012893316216</v>
      </c>
      <c r="E846" s="1100">
        <v>1.0369212533746228</v>
      </c>
      <c r="F846" s="1100">
        <v>1.0058743883857719</v>
      </c>
      <c r="G846" s="1100">
        <v>0.97803306101132725</v>
      </c>
      <c r="H846" s="1100">
        <v>0.98946310430714035</v>
      </c>
      <c r="I846" s="1100">
        <v>1.0089186439272755</v>
      </c>
      <c r="K846">
        <v>1.3178935820812854</v>
      </c>
      <c r="L846">
        <v>0</v>
      </c>
      <c r="M846">
        <v>5.3772474123556788E-4</v>
      </c>
      <c r="N846">
        <v>5.5270691578260478E-2</v>
      </c>
      <c r="O846">
        <v>7.5875999652560552E-3</v>
      </c>
      <c r="P846">
        <v>1.6717311496815636E-2</v>
      </c>
      <c r="Q846">
        <v>4.5574256670232301E-4</v>
      </c>
      <c r="R846">
        <v>5.3612111101127154E-4</v>
      </c>
      <c r="S846">
        <v>5.9409098174462618E-2</v>
      </c>
      <c r="T846">
        <v>1.0373583226643095</v>
      </c>
      <c r="U846">
        <v>0</v>
      </c>
      <c r="V846">
        <v>9.6085743504093338E-2</v>
      </c>
      <c r="W846">
        <v>3.553222487064607E-2</v>
      </c>
      <c r="X846">
        <v>8.0193059590666204E-3</v>
      </c>
      <c r="Y846">
        <v>1.4591449318959344E-3</v>
      </c>
    </row>
    <row r="847" spans="1:25" x14ac:dyDescent="0.25">
      <c r="A847" s="1096"/>
      <c r="B847" s="1455">
        <v>597</v>
      </c>
      <c r="C847" s="1100">
        <v>1.0001704441672747</v>
      </c>
      <c r="D847" s="1100">
        <v>1.0075043004006008</v>
      </c>
      <c r="E847" s="1100">
        <v>1.0076111333294342</v>
      </c>
      <c r="F847" s="1100">
        <v>0.9865320939498281</v>
      </c>
      <c r="G847" s="1100">
        <v>0.98523299871639691</v>
      </c>
      <c r="H847" s="1100">
        <v>1.0129896611369729</v>
      </c>
      <c r="I847" s="1100">
        <v>0.97566679762880759</v>
      </c>
      <c r="K847">
        <v>1.3009462533927267</v>
      </c>
      <c r="L847">
        <v>0</v>
      </c>
      <c r="M847">
        <v>5.9739437946401035E-4</v>
      </c>
      <c r="N847">
        <v>5.6212284135565907E-2</v>
      </c>
      <c r="O847">
        <v>7.739313041170621E-3</v>
      </c>
      <c r="P847">
        <v>1.6111049174318711E-2</v>
      </c>
      <c r="Q847">
        <v>4.5152153115888709E-4</v>
      </c>
      <c r="R847">
        <v>5.9565417636483651E-4</v>
      </c>
      <c r="S847">
        <v>5.9243107871566329E-2</v>
      </c>
      <c r="T847">
        <v>1.0182521723670257</v>
      </c>
      <c r="U847">
        <v>0</v>
      </c>
      <c r="V847">
        <v>9.7009160680499806E-2</v>
      </c>
      <c r="W847">
        <v>3.6761477628092259E-2</v>
      </c>
      <c r="X847">
        <v>7.5467328557088471E-3</v>
      </c>
      <c r="Y847">
        <v>1.6211743107186186E-3</v>
      </c>
    </row>
    <row r="848" spans="1:25" x14ac:dyDescent="0.25">
      <c r="A848" s="1096"/>
      <c r="B848" s="1455">
        <v>598</v>
      </c>
      <c r="C848" s="1100">
        <v>1.0251486961034808</v>
      </c>
      <c r="D848" s="1100">
        <v>0.95755014145110251</v>
      </c>
      <c r="E848" s="1100">
        <v>1.0018617617832326</v>
      </c>
      <c r="F848" s="1100">
        <v>1.0125412384737711</v>
      </c>
      <c r="G848" s="1100">
        <v>0.97183865023635752</v>
      </c>
      <c r="H848" s="1100">
        <v>0.98907537740548035</v>
      </c>
      <c r="I848" s="1100">
        <v>1.0193070690705686</v>
      </c>
      <c r="K848">
        <v>1.3260835857253401</v>
      </c>
      <c r="L848">
        <v>0</v>
      </c>
      <c r="M848">
        <v>5.8774641474633709E-4</v>
      </c>
      <c r="N848">
        <v>5.4348592319774548E-2</v>
      </c>
      <c r="O848">
        <v>7.7045043962608289E-3</v>
      </c>
      <c r="P848">
        <v>1.6422425283857147E-2</v>
      </c>
      <c r="Q848">
        <v>4.4690732332543584E-4</v>
      </c>
      <c r="R848">
        <v>5.859929202119428E-4</v>
      </c>
      <c r="S848">
        <v>6.1308869427333386E-2</v>
      </c>
      <c r="T848">
        <v>1.0452700476471692</v>
      </c>
      <c r="U848">
        <v>0</v>
      </c>
      <c r="V848">
        <v>9.5751013284604655E-2</v>
      </c>
      <c r="W848">
        <v>3.5663874640130266E-2</v>
      </c>
      <c r="X848">
        <v>7.5742253411143707E-3</v>
      </c>
      <c r="Y848">
        <v>1.5948795563026771E-3</v>
      </c>
    </row>
    <row r="849" spans="1:25" x14ac:dyDescent="0.25">
      <c r="A849" s="1096"/>
      <c r="B849" s="1455">
        <v>599</v>
      </c>
      <c r="C849" s="1100">
        <v>1.0201340591356645</v>
      </c>
      <c r="D849" s="1100">
        <v>0.99302300404247967</v>
      </c>
      <c r="E849" s="1100">
        <v>1.0004363521080972</v>
      </c>
      <c r="F849" s="1100">
        <v>1.0324227419069181</v>
      </c>
      <c r="G849" s="1100">
        <v>1.0085565441894941</v>
      </c>
      <c r="H849" s="1100">
        <v>1.0104246098403213</v>
      </c>
      <c r="I849" s="1100">
        <v>1.035378836008733</v>
      </c>
      <c r="K849">
        <v>1.3505630700557367</v>
      </c>
      <c r="L849">
        <v>0</v>
      </c>
      <c r="M849">
        <v>5.9642980617810376E-4</v>
      </c>
      <c r="N849">
        <v>5.491803500210593E-2</v>
      </c>
      <c r="O849">
        <v>7.6301948596498833E-3</v>
      </c>
      <c r="P849">
        <v>1.6721312829351468E-2</v>
      </c>
      <c r="Q849">
        <v>4.4196363305739369E-4</v>
      </c>
      <c r="R849">
        <v>5.9468800234509234E-4</v>
      </c>
      <c r="S849">
        <v>6.2031315932086072E-2</v>
      </c>
      <c r="T849">
        <v>1.0658379422127364</v>
      </c>
      <c r="U849">
        <v>0</v>
      </c>
      <c r="V849">
        <v>9.7644587526710763E-2</v>
      </c>
      <c r="W849">
        <v>3.606806208734456E-2</v>
      </c>
      <c r="X849">
        <v>7.6528530729904802E-3</v>
      </c>
      <c r="Y849">
        <v>1.6185447035360553E-3</v>
      </c>
    </row>
    <row r="850" spans="1:25" x14ac:dyDescent="0.25">
      <c r="A850" s="1096"/>
      <c r="B850" s="1455">
        <v>600</v>
      </c>
      <c r="C850" s="1100">
        <v>1.0257840690556075</v>
      </c>
      <c r="D850" s="1100">
        <v>0.98376585881544065</v>
      </c>
      <c r="E850" s="1100">
        <v>1.0356870648010537</v>
      </c>
      <c r="F850" s="1100">
        <v>0.96724530326326552</v>
      </c>
      <c r="G850" s="1100">
        <v>0.98393123804889582</v>
      </c>
      <c r="H850" s="1100">
        <v>0.97787837048809456</v>
      </c>
      <c r="I850" s="1100">
        <v>0.97989965130598777</v>
      </c>
      <c r="K850">
        <v>1.2752376987140503</v>
      </c>
      <c r="L850">
        <v>0</v>
      </c>
      <c r="M850">
        <v>5.3545745163985348E-4</v>
      </c>
      <c r="N850">
        <v>5.4831406674318732E-2</v>
      </c>
      <c r="O850">
        <v>7.6251635511757438E-3</v>
      </c>
      <c r="P850">
        <v>1.6125765414566926E-2</v>
      </c>
      <c r="Q850">
        <v>4.5744219157078746E-4</v>
      </c>
      <c r="R850">
        <v>5.3384166525256111E-4</v>
      </c>
      <c r="S850">
        <v>5.7755225805114919E-2</v>
      </c>
      <c r="T850">
        <v>0.9975543930363</v>
      </c>
      <c r="U850">
        <v>0</v>
      </c>
      <c r="V850">
        <v>9.6358556592937114E-2</v>
      </c>
      <c r="W850">
        <v>3.5274956940135327E-2</v>
      </c>
      <c r="X850">
        <v>7.8034632623575611E-3</v>
      </c>
      <c r="Y850">
        <v>1.4529410319598166E-3</v>
      </c>
    </row>
    <row r="851" spans="1:25" x14ac:dyDescent="0.25">
      <c r="A851" s="1096"/>
      <c r="B851" s="1455">
        <v>601</v>
      </c>
      <c r="C851" s="1100">
        <v>1.0083814405126814</v>
      </c>
      <c r="D851" s="1100">
        <v>0.98149660554916662</v>
      </c>
      <c r="E851" s="1100">
        <v>0.9953844616623998</v>
      </c>
      <c r="F851" s="1100">
        <v>1.0017943960120983</v>
      </c>
      <c r="G851" s="1100">
        <v>1.0160803312482218</v>
      </c>
      <c r="H851" s="1100">
        <v>0.99994600131203648</v>
      </c>
      <c r="I851" s="1100">
        <v>0.97252054367331431</v>
      </c>
      <c r="K851">
        <v>1.3163270694275402</v>
      </c>
      <c r="L851">
        <v>0</v>
      </c>
      <c r="M851">
        <v>6.0623658949035834E-4</v>
      </c>
      <c r="N851">
        <v>5.4973688427463099E-2</v>
      </c>
      <c r="O851">
        <v>7.7540191189220606E-3</v>
      </c>
      <c r="P851">
        <v>1.6198051671777697E-2</v>
      </c>
      <c r="Q851">
        <v>4.4685831973430594E-4</v>
      </c>
      <c r="R851">
        <v>6.0444759330289307E-4</v>
      </c>
      <c r="S851">
        <v>5.899876750795259E-2</v>
      </c>
      <c r="T851">
        <v>1.0343692400958437</v>
      </c>
      <c r="U851">
        <v>0</v>
      </c>
      <c r="V851">
        <v>9.8286068308157559E-2</v>
      </c>
      <c r="W851">
        <v>3.6213362210351464E-2</v>
      </c>
      <c r="X851">
        <v>7.4436956706487225E-3</v>
      </c>
      <c r="Y851">
        <v>1.645107092874894E-3</v>
      </c>
    </row>
    <row r="852" spans="1:25" x14ac:dyDescent="0.25">
      <c r="A852" s="1096"/>
      <c r="B852" s="1455">
        <v>602</v>
      </c>
      <c r="C852" s="1100">
        <v>0.98737754274991951</v>
      </c>
      <c r="D852" s="1100">
        <v>0.97951603224717643</v>
      </c>
      <c r="E852" s="1100">
        <v>1.0244168643495604</v>
      </c>
      <c r="F852" s="1100">
        <v>0.96250037487455198</v>
      </c>
      <c r="G852" s="1100">
        <v>0.98634233016441009</v>
      </c>
      <c r="H852" s="1100">
        <v>0.98662370552282075</v>
      </c>
      <c r="I852" s="1100">
        <v>1.0017403474546447</v>
      </c>
      <c r="K852">
        <v>1.2796832247397347</v>
      </c>
      <c r="L852">
        <v>0</v>
      </c>
      <c r="M852">
        <v>5.7559334630887817E-4</v>
      </c>
      <c r="N852">
        <v>5.6974012528979837E-2</v>
      </c>
      <c r="O852">
        <v>7.9326556180782017E-3</v>
      </c>
      <c r="P852">
        <v>1.6000611799025979E-2</v>
      </c>
      <c r="Q852">
        <v>4.7061583085173709E-4</v>
      </c>
      <c r="R852">
        <v>5.7387184230422257E-4</v>
      </c>
      <c r="S852">
        <v>6.1744336676548418E-2</v>
      </c>
      <c r="T852">
        <v>0.99297399095797612</v>
      </c>
      <c r="U852">
        <v>0</v>
      </c>
      <c r="V852">
        <v>9.7402796797780661E-2</v>
      </c>
      <c r="W852">
        <v>3.6893936433816082E-2</v>
      </c>
      <c r="X852">
        <v>7.7300996227315007E-3</v>
      </c>
      <c r="Y852">
        <v>1.561889977950121E-3</v>
      </c>
    </row>
    <row r="853" spans="1:25" x14ac:dyDescent="0.25">
      <c r="A853" s="1096"/>
      <c r="B853" s="1455">
        <v>603</v>
      </c>
      <c r="C853" s="1100">
        <v>0.99104376531203564</v>
      </c>
      <c r="D853" s="1100">
        <v>0.97982399775397033</v>
      </c>
      <c r="E853" s="1100">
        <v>0.99600480994604079</v>
      </c>
      <c r="F853" s="1100">
        <v>1.0349704374287902</v>
      </c>
      <c r="G853" s="1100">
        <v>1.0071597171606634</v>
      </c>
      <c r="H853" s="1100">
        <v>0.99791674015876486</v>
      </c>
      <c r="I853" s="1100">
        <v>0.98173660029726995</v>
      </c>
      <c r="K853">
        <v>1.3545471399017479</v>
      </c>
      <c r="L853">
        <v>0</v>
      </c>
      <c r="M853">
        <v>6.1521899280909216E-4</v>
      </c>
      <c r="N853">
        <v>5.5892568428764354E-2</v>
      </c>
      <c r="O853">
        <v>7.89520998662957E-3</v>
      </c>
      <c r="P853">
        <v>1.6692816617340091E-2</v>
      </c>
      <c r="Q853">
        <v>4.552795272073649E-4</v>
      </c>
      <c r="R853">
        <v>6.133997978467697E-4</v>
      </c>
      <c r="S853">
        <v>6.0594040019092771E-2</v>
      </c>
      <c r="T853">
        <v>1.0686048572889211</v>
      </c>
      <c r="U853">
        <v>0</v>
      </c>
      <c r="V853">
        <v>9.8285149863488672E-2</v>
      </c>
      <c r="W853">
        <v>3.680504633202631E-2</v>
      </c>
      <c r="X853">
        <v>7.6545189906892892E-3</v>
      </c>
      <c r="Y853">
        <v>1.6694720425498911E-3</v>
      </c>
    </row>
    <row r="854" spans="1:25" x14ac:dyDescent="0.25">
      <c r="A854" s="1096"/>
      <c r="B854" s="1455">
        <v>604</v>
      </c>
      <c r="C854" s="1100">
        <v>1.024312467391606</v>
      </c>
      <c r="D854" s="1100">
        <v>1.013191455583148</v>
      </c>
      <c r="E854" s="1100">
        <v>0.99017010832271346</v>
      </c>
      <c r="F854" s="1100">
        <v>0.98180928606004625</v>
      </c>
      <c r="G854" s="1100">
        <v>1.0073513335800515</v>
      </c>
      <c r="H854" s="1100">
        <v>0.97801253703574431</v>
      </c>
      <c r="I854" s="1100">
        <v>0.99249111686066893</v>
      </c>
      <c r="K854">
        <v>1.2879270642340954</v>
      </c>
      <c r="L854">
        <v>0</v>
      </c>
      <c r="M854">
        <v>5.8260395387500514E-4</v>
      </c>
      <c r="N854">
        <v>5.200103191212755E-2</v>
      </c>
      <c r="O854">
        <v>7.5357522766936946E-3</v>
      </c>
      <c r="P854">
        <v>1.5827823535601679E-2</v>
      </c>
      <c r="Q854">
        <v>4.3200042365134359E-4</v>
      </c>
      <c r="R854">
        <v>5.8084614025967897E-4</v>
      </c>
      <c r="S854">
        <v>5.7621544882481793E-2</v>
      </c>
      <c r="T854">
        <v>1.0138877698186468</v>
      </c>
      <c r="U854">
        <v>0</v>
      </c>
      <c r="V854">
        <v>9.7475821651588287E-2</v>
      </c>
      <c r="W854">
        <v>3.4362089972717912E-2</v>
      </c>
      <c r="X854">
        <v>7.2041158562930491E-3</v>
      </c>
      <c r="Y854">
        <v>1.5808717179081697E-3</v>
      </c>
    </row>
    <row r="855" spans="1:25" x14ac:dyDescent="0.25">
      <c r="A855" s="1096"/>
      <c r="B855" s="1455">
        <v>605</v>
      </c>
      <c r="C855" s="1100">
        <v>1.001449518734659</v>
      </c>
      <c r="D855" s="1100">
        <v>0.99992417161721758</v>
      </c>
      <c r="E855" s="1100">
        <v>1.0151098533608021</v>
      </c>
      <c r="F855" s="1100">
        <v>0.97261184734465023</v>
      </c>
      <c r="G855" s="1100">
        <v>0.98761417563052312</v>
      </c>
      <c r="H855" s="1100">
        <v>1.0135504816953393</v>
      </c>
      <c r="I855" s="1100">
        <v>0.9970755550085888</v>
      </c>
      <c r="K855">
        <v>1.2886215327812638</v>
      </c>
      <c r="L855">
        <v>0</v>
      </c>
      <c r="M855">
        <v>5.8951013817563729E-4</v>
      </c>
      <c r="N855">
        <v>5.6740469815493681E-2</v>
      </c>
      <c r="O855">
        <v>7.7546542886157361E-3</v>
      </c>
      <c r="P855">
        <v>1.6021249913376785E-2</v>
      </c>
      <c r="Q855">
        <v>4.5581806081687414E-4</v>
      </c>
      <c r="R855">
        <v>5.8779385196853454E-4</v>
      </c>
      <c r="S855">
        <v>6.0735099791137025E-2</v>
      </c>
      <c r="T855">
        <v>1.0036697240048407</v>
      </c>
      <c r="U855">
        <v>0</v>
      </c>
      <c r="V855">
        <v>9.7101079991451386E-2</v>
      </c>
      <c r="W855">
        <v>3.6943355359474322E-2</v>
      </c>
      <c r="X855">
        <v>7.6020167433944645E-3</v>
      </c>
      <c r="Y855">
        <v>1.5997810988671256E-3</v>
      </c>
    </row>
    <row r="856" spans="1:25" x14ac:dyDescent="0.25">
      <c r="A856" s="1096"/>
      <c r="B856" s="1455">
        <v>606</v>
      </c>
      <c r="C856" s="1100">
        <v>0.99952502786684827</v>
      </c>
      <c r="D856" s="1100">
        <v>0.99323617857893953</v>
      </c>
      <c r="E856" s="1100">
        <v>1.0058652422095724</v>
      </c>
      <c r="F856" s="1100">
        <v>1.0257870863132015</v>
      </c>
      <c r="G856" s="1100">
        <v>1.0297961358781114</v>
      </c>
      <c r="H856" s="1100">
        <v>1.0100745576443286</v>
      </c>
      <c r="I856" s="1100">
        <v>0.98456326740452682</v>
      </c>
      <c r="K856">
        <v>1.3456732126462703</v>
      </c>
      <c r="L856">
        <v>0</v>
      </c>
      <c r="M856">
        <v>6.0164745913744862E-4</v>
      </c>
      <c r="N856">
        <v>5.6314324635651954E-2</v>
      </c>
      <c r="O856">
        <v>7.7881894760836899E-3</v>
      </c>
      <c r="P856">
        <v>1.6688686637437909E-2</v>
      </c>
      <c r="Q856">
        <v>4.5357931068050163E-4</v>
      </c>
      <c r="R856">
        <v>5.9988980883465164E-4</v>
      </c>
      <c r="S856">
        <v>6.0190898270927308E-2</v>
      </c>
      <c r="T856">
        <v>1.0588222824076079</v>
      </c>
      <c r="U856">
        <v>0</v>
      </c>
      <c r="V856">
        <v>9.9179126512943888E-2</v>
      </c>
      <c r="W856">
        <v>3.6866241899818172E-2</v>
      </c>
      <c r="X856">
        <v>7.73893883939622E-3</v>
      </c>
      <c r="Y856">
        <v>1.6327023060255866E-3</v>
      </c>
    </row>
    <row r="857" spans="1:25" x14ac:dyDescent="0.25">
      <c r="A857" s="1096"/>
      <c r="B857" s="1455">
        <v>607</v>
      </c>
      <c r="C857" s="1100">
        <v>1.0361357782413239</v>
      </c>
      <c r="D857" s="1100">
        <v>0.98019168147714153</v>
      </c>
      <c r="E857" s="1100">
        <v>0.99678906368672104</v>
      </c>
      <c r="F857" s="1100">
        <v>1.0070890267735684</v>
      </c>
      <c r="G857" s="1100">
        <v>1.0001750972855927</v>
      </c>
      <c r="H857" s="1100">
        <v>1.0153661382684114</v>
      </c>
      <c r="I857" s="1100">
        <v>1.0224011802597726</v>
      </c>
      <c r="K857">
        <v>1.3211359797484932</v>
      </c>
      <c r="L857">
        <v>0</v>
      </c>
      <c r="M857">
        <v>5.9767209961574051E-4</v>
      </c>
      <c r="N857">
        <v>5.4430050762083682E-2</v>
      </c>
      <c r="O857">
        <v>7.5506691158973866E-3</v>
      </c>
      <c r="P857">
        <v>1.6295046996848733E-2</v>
      </c>
      <c r="Q857">
        <v>4.3575554301187686E-4</v>
      </c>
      <c r="R857">
        <v>5.9593516238145064E-4</v>
      </c>
      <c r="S857">
        <v>6.0876221936623148E-2</v>
      </c>
      <c r="T857">
        <v>1.0397937641743831</v>
      </c>
      <c r="U857">
        <v>0</v>
      </c>
      <c r="V857">
        <v>9.685991414489209E-2</v>
      </c>
      <c r="W857">
        <v>3.5825233674998236E-2</v>
      </c>
      <c r="X857">
        <v>7.4491212749588261E-3</v>
      </c>
      <c r="Y857">
        <v>1.6219390620288269E-3</v>
      </c>
    </row>
    <row r="858" spans="1:25" x14ac:dyDescent="0.25">
      <c r="A858" s="1096"/>
      <c r="B858" s="1455">
        <v>608</v>
      </c>
      <c r="C858" s="1100">
        <v>0.98827230406666544</v>
      </c>
      <c r="D858" s="1100">
        <v>1.0324423086603207</v>
      </c>
      <c r="E858" s="1100">
        <v>1.0042283003053603</v>
      </c>
      <c r="F858" s="1100">
        <v>1.0360783929085802</v>
      </c>
      <c r="G858" s="1100">
        <v>0.98707574255628372</v>
      </c>
      <c r="H858" s="1100">
        <v>1.0105104638417652</v>
      </c>
      <c r="I858" s="1100">
        <v>0.96687874635535298</v>
      </c>
      <c r="K858">
        <v>1.3525269164782341</v>
      </c>
      <c r="L858">
        <v>0</v>
      </c>
      <c r="M858">
        <v>6.0144652482585037E-4</v>
      </c>
      <c r="N858">
        <v>5.6017965394083026E-2</v>
      </c>
      <c r="O858">
        <v>7.7554277290996614E-3</v>
      </c>
      <c r="P858">
        <v>1.676776776015278E-2</v>
      </c>
      <c r="Q858">
        <v>4.5093077718884241E-4</v>
      </c>
      <c r="R858">
        <v>5.9969021948007815E-4</v>
      </c>
      <c r="S858">
        <v>5.8567976963234077E-2</v>
      </c>
      <c r="T858">
        <v>1.0694952444924064</v>
      </c>
      <c r="U858">
        <v>0</v>
      </c>
      <c r="V858">
        <v>9.7392880864502651E-2</v>
      </c>
      <c r="W858">
        <v>3.6707784110646444E-2</v>
      </c>
      <c r="X858">
        <v>7.7405356026672457E-3</v>
      </c>
      <c r="Y858">
        <v>1.6321590895970509E-3</v>
      </c>
    </row>
    <row r="859" spans="1:25" x14ac:dyDescent="0.25">
      <c r="A859" s="1096"/>
      <c r="B859" s="1455">
        <v>609</v>
      </c>
      <c r="C859" s="1100">
        <v>1.0139243274008432</v>
      </c>
      <c r="D859" s="1100">
        <v>0.975652369503344</v>
      </c>
      <c r="E859" s="1100">
        <v>1.0476579661092729</v>
      </c>
      <c r="F859" s="1100">
        <v>1.0407503485914227</v>
      </c>
      <c r="G859" s="1100">
        <v>1.0039573251380061</v>
      </c>
      <c r="H859" s="1100">
        <v>1.0393600901026303</v>
      </c>
      <c r="I859" s="1100">
        <v>1.0180787300099561</v>
      </c>
      <c r="K859">
        <v>1.3672082542930373</v>
      </c>
      <c r="L859">
        <v>0</v>
      </c>
      <c r="M859">
        <v>5.6343423664300535E-4</v>
      </c>
      <c r="N859">
        <v>5.982524157160695E-2</v>
      </c>
      <c r="O859">
        <v>7.7428963042491866E-3</v>
      </c>
      <c r="P859">
        <v>1.7421247836664201E-2</v>
      </c>
      <c r="Q859">
        <v>4.7000000194771108E-4</v>
      </c>
      <c r="R859">
        <v>5.6183460121240136E-4</v>
      </c>
      <c r="S859">
        <v>6.2895732384601374E-2</v>
      </c>
      <c r="T859">
        <v>1.0730072873305081</v>
      </c>
      <c r="U859">
        <v>0</v>
      </c>
      <c r="V859">
        <v>9.7623874781150116E-2</v>
      </c>
      <c r="W859">
        <v>3.8223565838726367E-2</v>
      </c>
      <c r="X859">
        <v>8.4708793032411012E-3</v>
      </c>
      <c r="Y859">
        <v>1.5291285757736423E-3</v>
      </c>
    </row>
    <row r="860" spans="1:25" x14ac:dyDescent="0.25">
      <c r="A860" s="1096"/>
      <c r="B860" s="1455">
        <v>610</v>
      </c>
      <c r="C860" s="1100">
        <v>1.0098983470779854</v>
      </c>
      <c r="D860" s="1100">
        <v>1.0359598345816379</v>
      </c>
      <c r="E860" s="1100">
        <v>0.99165312941147143</v>
      </c>
      <c r="F860" s="1100">
        <v>0.97382938400813068</v>
      </c>
      <c r="G860" s="1100">
        <v>1.0152512771561053</v>
      </c>
      <c r="H860" s="1100">
        <v>0.97115736802204711</v>
      </c>
      <c r="I860" s="1100">
        <v>0.98917489266054504</v>
      </c>
      <c r="K860">
        <v>1.279984537478658</v>
      </c>
      <c r="L860">
        <v>0</v>
      </c>
      <c r="M860">
        <v>5.7980072508899156E-4</v>
      </c>
      <c r="N860">
        <v>5.1982262558042405E-2</v>
      </c>
      <c r="O860">
        <v>7.5760214683012594E-3</v>
      </c>
      <c r="P860">
        <v>1.5739504810602715E-2</v>
      </c>
      <c r="Q860">
        <v>4.3496010851644206E-4</v>
      </c>
      <c r="R860">
        <v>5.7803902099717375E-4</v>
      </c>
      <c r="S860">
        <v>5.7356732947868097E-2</v>
      </c>
      <c r="T860">
        <v>1.005603763158091</v>
      </c>
      <c r="U860">
        <v>0</v>
      </c>
      <c r="V860">
        <v>9.8204893500022039E-2</v>
      </c>
      <c r="W860">
        <v>3.4319205836642372E-2</v>
      </c>
      <c r="X860">
        <v>7.1957231300198475E-3</v>
      </c>
      <c r="Y860">
        <v>1.5732316646422471E-3</v>
      </c>
    </row>
    <row r="861" spans="1:25" x14ac:dyDescent="0.25">
      <c r="A861" s="1096"/>
      <c r="B861" s="1455">
        <v>611</v>
      </c>
      <c r="C861" s="1100">
        <v>1.0415439237875079</v>
      </c>
      <c r="D861" s="1100">
        <v>0.98388689864976331</v>
      </c>
      <c r="E861" s="1100">
        <v>0.9896228699459525</v>
      </c>
      <c r="F861" s="1100">
        <v>0.99944805687461757</v>
      </c>
      <c r="G861" s="1100">
        <v>0.98894212871285214</v>
      </c>
      <c r="H861" s="1100">
        <v>1.0182735413228918</v>
      </c>
      <c r="I861" s="1100">
        <v>1.0057124759424731</v>
      </c>
      <c r="K861">
        <v>1.3102152595521404</v>
      </c>
      <c r="L861">
        <v>0</v>
      </c>
      <c r="M861">
        <v>6.0428119242083743E-4</v>
      </c>
      <c r="N861">
        <v>5.3853137574053807E-2</v>
      </c>
      <c r="O861">
        <v>7.4984674816162278E-3</v>
      </c>
      <c r="P861">
        <v>1.6076406149542768E-2</v>
      </c>
      <c r="Q861">
        <v>4.2962528846407711E-4</v>
      </c>
      <c r="R861">
        <v>6.0253006222618817E-4</v>
      </c>
      <c r="S861">
        <v>5.9531019153718938E-2</v>
      </c>
      <c r="T861">
        <v>1.0321192936333277</v>
      </c>
      <c r="U861">
        <v>0</v>
      </c>
      <c r="V861">
        <v>9.6184485380681237E-2</v>
      </c>
      <c r="W861">
        <v>3.5597623537589343E-2</v>
      </c>
      <c r="X861">
        <v>7.2870642779405666E-3</v>
      </c>
      <c r="Y861">
        <v>1.6398882053980527E-3</v>
      </c>
    </row>
    <row r="862" spans="1:25" x14ac:dyDescent="0.25">
      <c r="A862" s="1096"/>
      <c r="B862" s="1455">
        <v>612</v>
      </c>
      <c r="C862" s="1100">
        <v>1.0096132644702467</v>
      </c>
      <c r="D862" s="1100">
        <v>0.97575506308523596</v>
      </c>
      <c r="E862" s="1100">
        <v>1.0164577909733459</v>
      </c>
      <c r="F862" s="1100">
        <v>0.97439688198143526</v>
      </c>
      <c r="G862" s="1100">
        <v>0.99726887669850917</v>
      </c>
      <c r="H862" s="1100">
        <v>0.98406271433025971</v>
      </c>
      <c r="I862" s="1100">
        <v>0.96176773935782001</v>
      </c>
      <c r="K862">
        <v>1.2854537795675691</v>
      </c>
      <c r="L862">
        <v>0</v>
      </c>
      <c r="M862">
        <v>5.717101980922799E-4</v>
      </c>
      <c r="N862">
        <v>5.5246677522103264E-2</v>
      </c>
      <c r="O862">
        <v>7.7679336293262511E-3</v>
      </c>
      <c r="P862">
        <v>1.602813985322964E-2</v>
      </c>
      <c r="Q862">
        <v>4.5721231635813069E-4</v>
      </c>
      <c r="R862">
        <v>5.6999585800486931E-4</v>
      </c>
      <c r="S862">
        <v>5.8012320146452724E-2</v>
      </c>
      <c r="T862">
        <v>1.0054732811741667</v>
      </c>
      <c r="U862">
        <v>0</v>
      </c>
      <c r="V862">
        <v>9.7369545077105615E-2</v>
      </c>
      <c r="W862">
        <v>3.5942306733320752E-2</v>
      </c>
      <c r="X862">
        <v>7.6067366291864696E-3</v>
      </c>
      <c r="Y862">
        <v>1.551340826405162E-3</v>
      </c>
    </row>
    <row r="863" spans="1:25" x14ac:dyDescent="0.25">
      <c r="A863" s="1096"/>
      <c r="B863" s="1455">
        <v>613</v>
      </c>
      <c r="C863" s="1100">
        <v>1.0086916780537365</v>
      </c>
      <c r="D863" s="1100">
        <v>1.0315471204165823</v>
      </c>
      <c r="E863" s="1100">
        <v>1.0223477978405537</v>
      </c>
      <c r="F863" s="1100">
        <v>1.0048729786892296</v>
      </c>
      <c r="G863" s="1100">
        <v>1.0417825644120375</v>
      </c>
      <c r="H863" s="1100">
        <v>1.0255440708262571</v>
      </c>
      <c r="I863" s="1100">
        <v>1.0336022284833293</v>
      </c>
      <c r="K863">
        <v>1.3256670974601119</v>
      </c>
      <c r="L863">
        <v>0</v>
      </c>
      <c r="M863">
        <v>5.7613326012084408E-4</v>
      </c>
      <c r="N863">
        <v>5.6679141991806938E-2</v>
      </c>
      <c r="O863">
        <v>7.6054322338866345E-3</v>
      </c>
      <c r="P863">
        <v>1.6614748588200865E-2</v>
      </c>
      <c r="Q863">
        <v>4.502774223627154E-4</v>
      </c>
      <c r="R863">
        <v>5.7447553530821287E-4</v>
      </c>
      <c r="S863">
        <v>6.185344504903411E-2</v>
      </c>
      <c r="T863">
        <v>1.0367485916360999</v>
      </c>
      <c r="U863">
        <v>0</v>
      </c>
      <c r="V863">
        <v>9.9552331249152096E-2</v>
      </c>
      <c r="W863">
        <v>3.674732915011366E-2</v>
      </c>
      <c r="X863">
        <v>7.853924832969459E-3</v>
      </c>
      <c r="Y863">
        <v>1.5635330312996367E-3</v>
      </c>
    </row>
    <row r="864" spans="1:25" x14ac:dyDescent="0.25">
      <c r="A864" s="1096"/>
      <c r="B864" s="1455">
        <v>614</v>
      </c>
      <c r="C864" s="1100">
        <v>1.0131157392916319</v>
      </c>
      <c r="D864" s="1100">
        <v>0.99109918701075062</v>
      </c>
      <c r="E864" s="1100">
        <v>1.028669085078916</v>
      </c>
      <c r="F864" s="1100">
        <v>1.0306298586252887</v>
      </c>
      <c r="G864" s="1100">
        <v>0.97202835989907865</v>
      </c>
      <c r="H864" s="1100">
        <v>0.9897828635372945</v>
      </c>
      <c r="I864" s="1100">
        <v>0.99921763535583874</v>
      </c>
      <c r="K864">
        <v>1.3452698591774479</v>
      </c>
      <c r="L864">
        <v>0</v>
      </c>
      <c r="M864">
        <v>5.5518782793236845E-4</v>
      </c>
      <c r="N864">
        <v>5.5663896867779325E-2</v>
      </c>
      <c r="O864">
        <v>7.6958951763483113E-3</v>
      </c>
      <c r="P864">
        <v>1.6981255259628125E-2</v>
      </c>
      <c r="Q864">
        <v>4.5849687861929187E-4</v>
      </c>
      <c r="R864">
        <v>5.5353265329129218E-4</v>
      </c>
      <c r="S864">
        <v>5.9745583742379392E-2</v>
      </c>
      <c r="T864">
        <v>1.0631335221387155</v>
      </c>
      <c r="U864">
        <v>0</v>
      </c>
      <c r="V864">
        <v>9.6077042692246983E-2</v>
      </c>
      <c r="W864">
        <v>3.5956458363935774E-2</v>
      </c>
      <c r="X864">
        <v>8.0528298221652014E-3</v>
      </c>
      <c r="Y864">
        <v>1.5065334102687803E-3</v>
      </c>
    </row>
    <row r="865" spans="1:25" x14ac:dyDescent="0.25">
      <c r="A865" s="1096"/>
      <c r="B865" s="1455">
        <v>615</v>
      </c>
      <c r="C865" s="1100">
        <v>0.99780438550644601</v>
      </c>
      <c r="D865" s="1100">
        <v>1.0239915370044799</v>
      </c>
      <c r="E865" s="1100">
        <v>0.99353389189972119</v>
      </c>
      <c r="F865" s="1100">
        <v>1.0070112356807812</v>
      </c>
      <c r="G865" s="1100">
        <v>1.0185513197213252</v>
      </c>
      <c r="H865" s="1100">
        <v>0.99339842045219851</v>
      </c>
      <c r="I865" s="1100">
        <v>0.96981666314965753</v>
      </c>
      <c r="K865">
        <v>1.3197346858911954</v>
      </c>
      <c r="L865">
        <v>0</v>
      </c>
      <c r="M865">
        <v>6.0071867904296127E-4</v>
      </c>
      <c r="N865">
        <v>5.41684339671629E-2</v>
      </c>
      <c r="O865">
        <v>7.7040284403807309E-3</v>
      </c>
      <c r="P865">
        <v>1.6240050166642206E-2</v>
      </c>
      <c r="Q865">
        <v>4.4314976178086576E-4</v>
      </c>
      <c r="R865">
        <v>5.9893428202181028E-4</v>
      </c>
      <c r="S865">
        <v>5.7927961825701035E-2</v>
      </c>
      <c r="T865">
        <v>1.0398114896170318</v>
      </c>
      <c r="U865">
        <v>0</v>
      </c>
      <c r="V865">
        <v>9.8664034298735395E-2</v>
      </c>
      <c r="W865">
        <v>3.572234972613296E-2</v>
      </c>
      <c r="X865">
        <v>7.424870807617394E-3</v>
      </c>
      <c r="Y865">
        <v>1.6301016770303624E-3</v>
      </c>
    </row>
    <row r="866" spans="1:25" x14ac:dyDescent="0.25">
      <c r="A866" s="1096"/>
      <c r="B866" s="1455">
        <v>616</v>
      </c>
      <c r="C866" s="1100">
        <v>1.0364991367814969</v>
      </c>
      <c r="D866" s="1100">
        <v>0.99238541102100986</v>
      </c>
      <c r="E866" s="1100">
        <v>1.0199067209914006</v>
      </c>
      <c r="F866" s="1100">
        <v>1.0257156685075104</v>
      </c>
      <c r="G866" s="1100">
        <v>1.0309824248146355</v>
      </c>
      <c r="H866" s="1100">
        <v>1.0106589047302612</v>
      </c>
      <c r="I866" s="1100">
        <v>0.95348453336542205</v>
      </c>
      <c r="K866">
        <v>1.3379317945986524</v>
      </c>
      <c r="L866">
        <v>0</v>
      </c>
      <c r="M866">
        <v>5.6401724255146089E-4</v>
      </c>
      <c r="N866">
        <v>5.5077760735321502E-2</v>
      </c>
      <c r="O866">
        <v>7.5162853765933599E-3</v>
      </c>
      <c r="P866">
        <v>1.6789950735358553E-2</v>
      </c>
      <c r="Q866">
        <v>4.4392156897134596E-4</v>
      </c>
      <c r="R866">
        <v>5.6237047768613736E-4</v>
      </c>
      <c r="S866">
        <v>5.6266597550894214E-2</v>
      </c>
      <c r="T866">
        <v>1.058325389335967</v>
      </c>
      <c r="U866">
        <v>0</v>
      </c>
      <c r="V866">
        <v>9.8367648498066992E-2</v>
      </c>
      <c r="W866">
        <v>3.5760079833602056E-2</v>
      </c>
      <c r="X866">
        <v>7.8552206738577053E-3</v>
      </c>
      <c r="Y866">
        <v>1.5305870548835197E-3</v>
      </c>
    </row>
    <row r="867" spans="1:25" x14ac:dyDescent="0.25">
      <c r="A867" s="1096"/>
      <c r="B867" s="1455">
        <v>617</v>
      </c>
      <c r="C867" s="1100">
        <v>1.032263239386636</v>
      </c>
      <c r="D867" s="1100">
        <v>0.96287535291878268</v>
      </c>
      <c r="E867" s="1100">
        <v>1.0002653509322625</v>
      </c>
      <c r="F867" s="1100">
        <v>1.0055516474161434</v>
      </c>
      <c r="G867" s="1100">
        <v>1.0137584281876502</v>
      </c>
      <c r="H867" s="1100">
        <v>0.99081310467498895</v>
      </c>
      <c r="I867" s="1100">
        <v>0.96497188370322384</v>
      </c>
      <c r="K867">
        <v>1.3159132550623869</v>
      </c>
      <c r="L867">
        <v>0</v>
      </c>
      <c r="M867">
        <v>5.853608917930739E-4</v>
      </c>
      <c r="N867">
        <v>5.3867871028471161E-2</v>
      </c>
      <c r="O867">
        <v>7.6340633920487242E-3</v>
      </c>
      <c r="P867">
        <v>1.6278749132125316E-2</v>
      </c>
      <c r="Q867">
        <v>4.4211172503112446E-4</v>
      </c>
      <c r="R867">
        <v>5.8361757714214325E-4</v>
      </c>
      <c r="S867">
        <v>5.7517775683675457E-2</v>
      </c>
      <c r="T867">
        <v>1.0381022592559188</v>
      </c>
      <c r="U867">
        <v>0</v>
      </c>
      <c r="V867">
        <v>9.7610593944692611E-2</v>
      </c>
      <c r="W867">
        <v>3.5381949430682562E-2</v>
      </c>
      <c r="X867">
        <v>7.4912101288930836E-3</v>
      </c>
      <c r="Y867">
        <v>1.5884146554983145E-3</v>
      </c>
    </row>
    <row r="868" spans="1:25" x14ac:dyDescent="0.25">
      <c r="A868" s="1096"/>
      <c r="B868" s="1455">
        <v>618</v>
      </c>
      <c r="C868" s="1100">
        <v>1.0066916350676711</v>
      </c>
      <c r="D868" s="1100">
        <v>1.0297358039822393</v>
      </c>
      <c r="E868" s="1100">
        <v>0.96333530279559143</v>
      </c>
      <c r="F868" s="1100">
        <v>0.97610137471030645</v>
      </c>
      <c r="G868" s="1100">
        <v>1.0107328057614302</v>
      </c>
      <c r="H868" s="1100">
        <v>0.99203050920057245</v>
      </c>
      <c r="I868" s="1100">
        <v>0.98997655284780084</v>
      </c>
      <c r="K868">
        <v>1.2840930939438733</v>
      </c>
      <c r="L868">
        <v>0</v>
      </c>
      <c r="M868">
        <v>6.314835595725972E-4</v>
      </c>
      <c r="N868">
        <v>5.1969560702159454E-2</v>
      </c>
      <c r="O868">
        <v>7.6116961291526003E-3</v>
      </c>
      <c r="P868">
        <v>1.5457146383200013E-2</v>
      </c>
      <c r="Q868">
        <v>4.2459228123847983E-4</v>
      </c>
      <c r="R868">
        <v>6.2960519089372052E-4</v>
      </c>
      <c r="S868">
        <v>5.836568650262812E-2</v>
      </c>
      <c r="T868">
        <v>1.0087912277037272</v>
      </c>
      <c r="U868">
        <v>0</v>
      </c>
      <c r="V868">
        <v>9.803314754073239E-2</v>
      </c>
      <c r="W868">
        <v>3.4903746493540895E-2</v>
      </c>
      <c r="X868">
        <v>6.8245907958558111E-3</v>
      </c>
      <c r="Y868">
        <v>1.7135777803173094E-3</v>
      </c>
    </row>
    <row r="869" spans="1:25" x14ac:dyDescent="0.25">
      <c r="A869" s="1096"/>
      <c r="B869" s="1455">
        <v>619</v>
      </c>
      <c r="C869" s="1100">
        <v>1.0097360610869304</v>
      </c>
      <c r="D869" s="1100">
        <v>1.0034849154473202</v>
      </c>
      <c r="E869" s="1100">
        <v>0.99239811419050172</v>
      </c>
      <c r="F869" s="1100">
        <v>0.98974018784008611</v>
      </c>
      <c r="G869" s="1100">
        <v>1.0309744164353918</v>
      </c>
      <c r="H869" s="1100">
        <v>0.97202354025880555</v>
      </c>
      <c r="I869" s="1100">
        <v>0.98286068150922945</v>
      </c>
      <c r="K869">
        <v>1.2995490143706763</v>
      </c>
      <c r="L869">
        <v>0</v>
      </c>
      <c r="M869">
        <v>5.8694614928025751E-4</v>
      </c>
      <c r="N869">
        <v>5.2741676044685125E-2</v>
      </c>
      <c r="O869">
        <v>7.6745698097005557E-3</v>
      </c>
      <c r="P869">
        <v>1.5990094115404214E-2</v>
      </c>
      <c r="Q869">
        <v>4.4094957782597484E-4</v>
      </c>
      <c r="R869">
        <v>5.8516432327365751E-4</v>
      </c>
      <c r="S869">
        <v>5.801088029953657E-2</v>
      </c>
      <c r="T869">
        <v>1.0220115867308039</v>
      </c>
      <c r="U869">
        <v>0</v>
      </c>
      <c r="V869">
        <v>9.8970264635352148E-2</v>
      </c>
      <c r="W869">
        <v>3.4805066375066022E-2</v>
      </c>
      <c r="X869">
        <v>7.3130842197257238E-3</v>
      </c>
      <c r="Y869">
        <v>1.5926243885835713E-3</v>
      </c>
    </row>
    <row r="870" spans="1:25" x14ac:dyDescent="0.25">
      <c r="A870" s="1096"/>
      <c r="B870" s="1455">
        <v>620</v>
      </c>
      <c r="C870" s="1100">
        <v>0.99478780519411669</v>
      </c>
      <c r="D870" s="1100">
        <v>0.99931604523367179</v>
      </c>
      <c r="E870" s="1100">
        <v>0.99128048668684476</v>
      </c>
      <c r="F870" s="1100">
        <v>1.02281420142429</v>
      </c>
      <c r="G870" s="1100">
        <v>1.0049001523690779</v>
      </c>
      <c r="H870" s="1100">
        <v>0.98605868561013299</v>
      </c>
      <c r="I870" s="1100">
        <v>1.0196713734813014</v>
      </c>
      <c r="K870">
        <v>1.3400418938136649</v>
      </c>
      <c r="L870">
        <v>0</v>
      </c>
      <c r="M870">
        <v>6.0677878904685193E-4</v>
      </c>
      <c r="N870">
        <v>5.4342243867596542E-2</v>
      </c>
      <c r="O870">
        <v>7.8025994985987243E-3</v>
      </c>
      <c r="P870">
        <v>1.6477303592457752E-2</v>
      </c>
      <c r="Q870">
        <v>4.4780001244269975E-4</v>
      </c>
      <c r="R870">
        <v>6.0496297468661615E-4</v>
      </c>
      <c r="S870">
        <v>6.1663170543275907E-2</v>
      </c>
      <c r="T870">
        <v>1.0561983128081827</v>
      </c>
      <c r="U870">
        <v>0</v>
      </c>
      <c r="V870">
        <v>9.8076455467348209E-2</v>
      </c>
      <c r="W870">
        <v>3.5885289623512187E-2</v>
      </c>
      <c r="X870">
        <v>7.5040244235031342E-3</v>
      </c>
      <c r="Y870">
        <v>1.6465097911059607E-3</v>
      </c>
    </row>
    <row r="871" spans="1:25" x14ac:dyDescent="0.25">
      <c r="A871" s="1096"/>
      <c r="B871" s="1455">
        <v>621</v>
      </c>
      <c r="C871" s="1100">
        <v>1.0104114567303846</v>
      </c>
      <c r="D871" s="1100">
        <v>1.0090151390446749</v>
      </c>
      <c r="E871" s="1100">
        <v>0.99210288025458127</v>
      </c>
      <c r="F871" s="1100">
        <v>0.98799110078890506</v>
      </c>
      <c r="G871" s="1100">
        <v>0.99168651899629778</v>
      </c>
      <c r="H871" s="1100">
        <v>1.0361354760843753</v>
      </c>
      <c r="I871" s="1100">
        <v>0.98786541592961497</v>
      </c>
      <c r="K871">
        <v>1.30338324735116</v>
      </c>
      <c r="L871">
        <v>0</v>
      </c>
      <c r="M871">
        <v>6.2424997391982066E-4</v>
      </c>
      <c r="N871">
        <v>5.6054234311821556E-2</v>
      </c>
      <c r="O871">
        <v>7.6525268334296298E-3</v>
      </c>
      <c r="P871">
        <v>1.5963180492944328E-2</v>
      </c>
      <c r="Q871">
        <v>4.395520544463989E-4</v>
      </c>
      <c r="R871">
        <v>6.2247216202532404E-4</v>
      </c>
      <c r="S871">
        <v>6.0001842971169193E-2</v>
      </c>
      <c r="T871">
        <v>1.0202142186375385</v>
      </c>
      <c r="U871">
        <v>0</v>
      </c>
      <c r="V871">
        <v>9.7053003767608115E-2</v>
      </c>
      <c r="W871">
        <v>3.6997607276993909E-2</v>
      </c>
      <c r="X871">
        <v>7.3146947899622354E-3</v>
      </c>
      <c r="Y871">
        <v>1.6941640271398684E-3</v>
      </c>
    </row>
    <row r="872" spans="1:25" x14ac:dyDescent="0.25">
      <c r="A872" s="1096"/>
      <c r="B872" s="1455">
        <v>622</v>
      </c>
      <c r="C872" s="1100">
        <v>1.027221054507079</v>
      </c>
      <c r="D872" s="1100">
        <v>1.0323943636006245</v>
      </c>
      <c r="E872" s="1100">
        <v>0.96618827026681153</v>
      </c>
      <c r="F872" s="1100">
        <v>1.0037874359346561</v>
      </c>
      <c r="G872" s="1100">
        <v>1.0002435022226137</v>
      </c>
      <c r="H872" s="1100">
        <v>1.0169064274995081</v>
      </c>
      <c r="I872" s="1100">
        <v>1.0275158530945727</v>
      </c>
      <c r="K872">
        <v>1.3141861847004546</v>
      </c>
      <c r="L872">
        <v>0</v>
      </c>
      <c r="M872">
        <v>6.3000919124959857E-4</v>
      </c>
      <c r="N872">
        <v>5.2302043978542337E-2</v>
      </c>
      <c r="O872">
        <v>7.4525528963707817E-3</v>
      </c>
      <c r="P872">
        <v>1.5879371260824133E-2</v>
      </c>
      <c r="Q872">
        <v>4.1693255808901143E-4</v>
      </c>
      <c r="R872">
        <v>6.281810501540709E-4</v>
      </c>
      <c r="S872">
        <v>6.003867759221259E-2</v>
      </c>
      <c r="T872">
        <v>1.0373162389578934</v>
      </c>
      <c r="U872">
        <v>0</v>
      </c>
      <c r="V872">
        <v>9.7037222516248522E-2</v>
      </c>
      <c r="W872">
        <v>3.5065852550009359E-2</v>
      </c>
      <c r="X872">
        <v>6.9694187926672719E-3</v>
      </c>
      <c r="Y872">
        <v>1.7097017386918515E-3</v>
      </c>
    </row>
    <row r="873" spans="1:25" x14ac:dyDescent="0.25">
      <c r="A873" s="1096"/>
      <c r="B873" s="1455">
        <v>623</v>
      </c>
      <c r="C873" s="1100">
        <v>0.99162854612149143</v>
      </c>
      <c r="D873" s="1100">
        <v>1.0121640315981471</v>
      </c>
      <c r="E873" s="1100">
        <v>0.98484067393442198</v>
      </c>
      <c r="F873" s="1100">
        <v>0.99546614160710556</v>
      </c>
      <c r="G873" s="1100">
        <v>1.0336875497903866</v>
      </c>
      <c r="H873" s="1100">
        <v>0.99425463351719889</v>
      </c>
      <c r="I873" s="1100">
        <v>1.0046626761900763</v>
      </c>
      <c r="K873">
        <v>1.3120708545653441</v>
      </c>
      <c r="L873">
        <v>0</v>
      </c>
      <c r="M873">
        <v>6.1883946644896175E-4</v>
      </c>
      <c r="N873">
        <v>5.4354918377292609E-2</v>
      </c>
      <c r="O873">
        <v>7.7859788110299245E-3</v>
      </c>
      <c r="P873">
        <v>1.6027090832629886E-2</v>
      </c>
      <c r="Q873">
        <v>4.4394387885515713E-4</v>
      </c>
      <c r="R873">
        <v>6.1700282577559662E-4</v>
      </c>
      <c r="S873">
        <v>6.0778305253558769E-2</v>
      </c>
      <c r="T873">
        <v>1.0281507241706938</v>
      </c>
      <c r="U873">
        <v>0</v>
      </c>
      <c r="V873">
        <v>9.9541137419597747E-2</v>
      </c>
      <c r="W873">
        <v>3.6032612413037533E-2</v>
      </c>
      <c r="X873">
        <v>7.2787017524893671E-3</v>
      </c>
      <c r="Y873">
        <v>1.6792782968343208E-3</v>
      </c>
    </row>
    <row r="874" spans="1:25" x14ac:dyDescent="0.25">
      <c r="A874" s="1096"/>
      <c r="B874" s="1455">
        <v>624</v>
      </c>
      <c r="C874" s="1100">
        <v>1.0093393768601122</v>
      </c>
      <c r="D874" s="1100">
        <v>1.0020731352361816</v>
      </c>
      <c r="E874" s="1100">
        <v>1.00020306478221</v>
      </c>
      <c r="F874" s="1100">
        <v>1.0276303345363704</v>
      </c>
      <c r="G874" s="1100">
        <v>0.99205812021416251</v>
      </c>
      <c r="H874" s="1100">
        <v>1.0043191429434488</v>
      </c>
      <c r="I874" s="1100">
        <v>1.0155264209125654</v>
      </c>
      <c r="K874">
        <v>1.3440729429351657</v>
      </c>
      <c r="L874">
        <v>0</v>
      </c>
      <c r="M874">
        <v>5.9728460503769682E-4</v>
      </c>
      <c r="N874">
        <v>5.4957016811603247E-2</v>
      </c>
      <c r="O874">
        <v>7.683806364997328E-3</v>
      </c>
      <c r="P874">
        <v>1.6629678761774101E-2</v>
      </c>
      <c r="Q874">
        <v>4.4496463526621919E-4</v>
      </c>
      <c r="R874">
        <v>5.955297008971832E-4</v>
      </c>
      <c r="S874">
        <v>6.1006830678814281E-2</v>
      </c>
      <c r="T874">
        <v>1.0608975580808828</v>
      </c>
      <c r="U874">
        <v>0</v>
      </c>
      <c r="V874">
        <v>9.7106002858991597E-2</v>
      </c>
      <c r="W874">
        <v>3.609866743298637E-2</v>
      </c>
      <c r="X874">
        <v>7.6293366844609276E-3</v>
      </c>
      <c r="Y874">
        <v>1.6208355295289933E-3</v>
      </c>
    </row>
    <row r="875" spans="1:25" x14ac:dyDescent="0.25">
      <c r="A875" s="1096"/>
      <c r="B875" s="1455">
        <v>625</v>
      </c>
      <c r="C875" s="1100">
        <v>1.0319095322693235</v>
      </c>
      <c r="D875" s="1100">
        <v>1.0351320680919476</v>
      </c>
      <c r="E875" s="1100">
        <v>0.99360580755932237</v>
      </c>
      <c r="F875" s="1100">
        <v>0.995221703373942</v>
      </c>
      <c r="G875" s="1100">
        <v>1.0309804402611427</v>
      </c>
      <c r="H875" s="1100">
        <v>0.97301205189978657</v>
      </c>
      <c r="I875" s="1100">
        <v>0.99941855433201698</v>
      </c>
      <c r="K875">
        <v>1.3003682815104978</v>
      </c>
      <c r="L875">
        <v>0</v>
      </c>
      <c r="M875">
        <v>5.6640254432414785E-4</v>
      </c>
      <c r="N875">
        <v>5.1081969584335564E-2</v>
      </c>
      <c r="O875">
        <v>7.4172495369345037E-3</v>
      </c>
      <c r="P875">
        <v>1.6057284854458016E-2</v>
      </c>
      <c r="Q875">
        <v>4.2668466957680577E-4</v>
      </c>
      <c r="R875">
        <v>5.6468483056523028E-4</v>
      </c>
      <c r="S875">
        <v>5.6794827936881072E-2</v>
      </c>
      <c r="T875">
        <v>1.027635805948107</v>
      </c>
      <c r="U875">
        <v>0</v>
      </c>
      <c r="V875">
        <v>9.8444566249636337E-2</v>
      </c>
      <c r="W875">
        <v>3.3685478007493802E-2</v>
      </c>
      <c r="X875">
        <v>7.2892464763399971E-3</v>
      </c>
      <c r="Y875">
        <v>1.5368859604941889E-3</v>
      </c>
    </row>
    <row r="876" spans="1:25" x14ac:dyDescent="0.25">
      <c r="A876" s="1096"/>
      <c r="B876" s="1455">
        <v>626</v>
      </c>
      <c r="C876" s="1100">
        <v>0.95727461730934704</v>
      </c>
      <c r="D876" s="1100">
        <v>1.0377514880672567</v>
      </c>
      <c r="E876" s="1100">
        <v>1.0291317851598512</v>
      </c>
      <c r="F876" s="1100">
        <v>0.9699597672814434</v>
      </c>
      <c r="G876" s="1100">
        <v>0.97509470392861475</v>
      </c>
      <c r="H876" s="1100">
        <v>0.9755032790334659</v>
      </c>
      <c r="I876" s="1100">
        <v>0.95702391961555866</v>
      </c>
      <c r="K876">
        <v>1.2846644902104836</v>
      </c>
      <c r="L876">
        <v>0</v>
      </c>
      <c r="M876">
        <v>5.6799184050324372E-4</v>
      </c>
      <c r="N876">
        <v>5.7024643540781392E-2</v>
      </c>
      <c r="O876">
        <v>7.9964558096540291E-3</v>
      </c>
      <c r="P876">
        <v>1.6121478511663064E-2</v>
      </c>
      <c r="Q876">
        <v>4.7662144340873767E-4</v>
      </c>
      <c r="R876">
        <v>5.6627370591159866E-4</v>
      </c>
      <c r="S876">
        <v>5.8654894724705961E-2</v>
      </c>
      <c r="T876">
        <v>1.0005370637075288</v>
      </c>
      <c r="U876">
        <v>0</v>
      </c>
      <c r="V876">
        <v>9.7653555010845119E-2</v>
      </c>
      <c r="W876">
        <v>3.6825540881509786E-2</v>
      </c>
      <c r="X876">
        <v>7.8347443595637844E-3</v>
      </c>
      <c r="Y876">
        <v>1.541210355414387E-3</v>
      </c>
    </row>
    <row r="877" spans="1:25" x14ac:dyDescent="0.25">
      <c r="A877" s="1096"/>
      <c r="B877" s="1455">
        <v>627</v>
      </c>
      <c r="C877" s="1100">
        <v>1.0093683713715551</v>
      </c>
      <c r="D877" s="1100">
        <v>1.0138455907829491</v>
      </c>
      <c r="E877" s="1100">
        <v>1.0089067678190993</v>
      </c>
      <c r="F877" s="1100">
        <v>1.0053075851645417</v>
      </c>
      <c r="G877" s="1100">
        <v>0.97887269961274037</v>
      </c>
      <c r="H877" s="1100">
        <v>0.96948645910014142</v>
      </c>
      <c r="I877" s="1100">
        <v>1.0066086221341026</v>
      </c>
      <c r="K877">
        <v>1.3147520898120171</v>
      </c>
      <c r="L877">
        <v>0</v>
      </c>
      <c r="M877">
        <v>5.635903589200986E-4</v>
      </c>
      <c r="N877">
        <v>5.3232355768733641E-2</v>
      </c>
      <c r="O877">
        <v>7.6498793936253563E-3</v>
      </c>
      <c r="P877">
        <v>1.6382029931106507E-2</v>
      </c>
      <c r="Q877">
        <v>4.4688282541483865E-4</v>
      </c>
      <c r="R877">
        <v>5.6187495805030995E-4</v>
      </c>
      <c r="S877">
        <v>5.9045514680086168E-2</v>
      </c>
      <c r="T877">
        <v>1.0375929048696744</v>
      </c>
      <c r="U877">
        <v>0</v>
      </c>
      <c r="V877">
        <v>9.6477065887060953E-2</v>
      </c>
      <c r="W877">
        <v>3.4786052989957642E-2</v>
      </c>
      <c r="X877">
        <v>7.6118804534428663E-3</v>
      </c>
      <c r="Y877">
        <v>1.5292384137828019E-3</v>
      </c>
    </row>
    <row r="878" spans="1:25" x14ac:dyDescent="0.25">
      <c r="A878" s="1096"/>
      <c r="B878" s="1455">
        <v>628</v>
      </c>
      <c r="C878" s="1100">
        <v>0.98683172135773378</v>
      </c>
      <c r="D878" s="1100">
        <v>1.0189473135224301</v>
      </c>
      <c r="E878" s="1100">
        <v>0.97420994258556337</v>
      </c>
      <c r="F878" s="1100">
        <v>1.0400512352060269</v>
      </c>
      <c r="G878" s="1100">
        <v>0.9980444237572571</v>
      </c>
      <c r="H878" s="1100">
        <v>1.0034216290424798</v>
      </c>
      <c r="I878" s="1100">
        <v>1.0137041436512615</v>
      </c>
      <c r="K878">
        <v>1.3586908139998435</v>
      </c>
      <c r="L878">
        <v>0</v>
      </c>
      <c r="M878">
        <v>6.398164241056502E-4</v>
      </c>
      <c r="N878">
        <v>5.4419992518758231E-2</v>
      </c>
      <c r="O878">
        <v>7.8003336841215741E-3</v>
      </c>
      <c r="P878">
        <v>1.6508995153911063E-2</v>
      </c>
      <c r="Q878">
        <v>4.3998129278737213E-4</v>
      </c>
      <c r="R878">
        <v>6.379348741889164E-4</v>
      </c>
      <c r="S878">
        <v>6.1677801949051939E-2</v>
      </c>
      <c r="T878">
        <v>1.0745355636943168</v>
      </c>
      <c r="U878">
        <v>0</v>
      </c>
      <c r="V878">
        <v>9.7926645699032977E-2</v>
      </c>
      <c r="W878">
        <v>3.6308157628615022E-2</v>
      </c>
      <c r="X878">
        <v>7.3389754967990361E-3</v>
      </c>
      <c r="Y878">
        <v>1.7362484323674725E-3</v>
      </c>
    </row>
    <row r="879" spans="1:25" x14ac:dyDescent="0.25">
      <c r="A879" s="1096"/>
      <c r="B879" s="1455">
        <v>629</v>
      </c>
      <c r="C879" s="1100">
        <v>0.99960750931733677</v>
      </c>
      <c r="D879" s="1100">
        <v>0.99476499828541287</v>
      </c>
      <c r="E879" s="1100">
        <v>0.99638035920752188</v>
      </c>
      <c r="F879" s="1100">
        <v>1.0174990256638068</v>
      </c>
      <c r="G879" s="1100">
        <v>0.98444452810182759</v>
      </c>
      <c r="H879" s="1100">
        <v>1.0098804587038619</v>
      </c>
      <c r="I879" s="1100">
        <v>0.98904953965903164</v>
      </c>
      <c r="K879">
        <v>1.3342613398146979</v>
      </c>
      <c r="L879">
        <v>0</v>
      </c>
      <c r="M879">
        <v>6.1305809633226507E-4</v>
      </c>
      <c r="N879">
        <v>5.5761457702909169E-2</v>
      </c>
      <c r="O879">
        <v>7.7804227502374663E-3</v>
      </c>
      <c r="P879">
        <v>1.6431415393775607E-2</v>
      </c>
      <c r="Q879">
        <v>4.4883004487984767E-4</v>
      </c>
      <c r="R879">
        <v>6.1126676681575647E-4</v>
      </c>
      <c r="S879">
        <v>6.0395252443301205E-2</v>
      </c>
      <c r="T879">
        <v>1.0505542431755261</v>
      </c>
      <c r="U879">
        <v>0</v>
      </c>
      <c r="V879">
        <v>9.6972483012788463E-2</v>
      </c>
      <c r="W879">
        <v>3.6710490816034634E-2</v>
      </c>
      <c r="X879">
        <v>7.5448691695239644E-3</v>
      </c>
      <c r="Y879">
        <v>1.6636666352369634E-3</v>
      </c>
    </row>
    <row r="880" spans="1:25" x14ac:dyDescent="0.25">
      <c r="A880" s="1096"/>
      <c r="B880" s="1455">
        <v>630</v>
      </c>
      <c r="C880" s="1100">
        <v>1.0435861391218757</v>
      </c>
      <c r="D880" s="1100">
        <v>1.0225959431632838</v>
      </c>
      <c r="E880" s="1100">
        <v>1.0238755051972228</v>
      </c>
      <c r="F880" s="1100">
        <v>1.0210977078276453</v>
      </c>
      <c r="G880" s="1100">
        <v>0.99482645896255528</v>
      </c>
      <c r="H880" s="1100">
        <v>0.98914715336938352</v>
      </c>
      <c r="I880" s="1100">
        <v>1.0208565011888799</v>
      </c>
      <c r="K880">
        <v>1.3295199095548582</v>
      </c>
      <c r="L880">
        <v>0</v>
      </c>
      <c r="M880">
        <v>5.3726994786764879E-4</v>
      </c>
      <c r="N880">
        <v>5.3094294709325744E-2</v>
      </c>
      <c r="O880">
        <v>7.3771579134821932E-3</v>
      </c>
      <c r="P880">
        <v>1.6772012294419634E-2</v>
      </c>
      <c r="Q880">
        <v>4.3742521255156047E-4</v>
      </c>
      <c r="R880">
        <v>5.3566716215702162E-4</v>
      </c>
      <c r="S880">
        <v>5.8246919648534221E-2</v>
      </c>
      <c r="T880">
        <v>1.0534426247871052</v>
      </c>
      <c r="U880">
        <v>0</v>
      </c>
      <c r="V880">
        <v>9.6460270732096176E-2</v>
      </c>
      <c r="W880">
        <v>3.4392452682775292E-2</v>
      </c>
      <c r="X880">
        <v>7.8404449275208919E-3</v>
      </c>
      <c r="Y880">
        <v>1.4579094327588655E-3</v>
      </c>
    </row>
    <row r="881" spans="1:25" x14ac:dyDescent="0.25">
      <c r="A881" s="1096"/>
      <c r="B881" s="1455">
        <v>631</v>
      </c>
      <c r="C881" s="1100">
        <v>0.98243220580118973</v>
      </c>
      <c r="D881" s="1100">
        <v>0.96487080212775556</v>
      </c>
      <c r="E881" s="1100">
        <v>1.0069793492196084</v>
      </c>
      <c r="F881" s="1100">
        <v>1.0311815539910765</v>
      </c>
      <c r="G881" s="1100">
        <v>1.0265154461926871</v>
      </c>
      <c r="H881" s="1100">
        <v>0.97187219328704999</v>
      </c>
      <c r="I881" s="1100">
        <v>0.99865000973432028</v>
      </c>
      <c r="K881">
        <v>1.3527683403574378</v>
      </c>
      <c r="L881">
        <v>0</v>
      </c>
      <c r="M881">
        <v>5.944530909387627E-4</v>
      </c>
      <c r="N881">
        <v>5.5822012448246777E-2</v>
      </c>
      <c r="O881">
        <v>8.0163422657710086E-3</v>
      </c>
      <c r="P881">
        <v>1.6805357413003468E-2</v>
      </c>
      <c r="Q881">
        <v>4.6738805800222472E-4</v>
      </c>
      <c r="R881">
        <v>5.9264819465212296E-4</v>
      </c>
      <c r="S881">
        <v>6.1885114673341707E-2</v>
      </c>
      <c r="T881">
        <v>1.064356501582526</v>
      </c>
      <c r="U881">
        <v>0</v>
      </c>
      <c r="V881">
        <v>9.9453104967787545E-2</v>
      </c>
      <c r="W881">
        <v>3.6519881257232309E-2</v>
      </c>
      <c r="X881">
        <v>7.8314495683948961E-3</v>
      </c>
      <c r="Y881">
        <v>1.6129930194182175E-3</v>
      </c>
    </row>
    <row r="882" spans="1:25" x14ac:dyDescent="0.25">
      <c r="A882" s="1096"/>
      <c r="B882" s="1455">
        <v>632</v>
      </c>
      <c r="C882" s="1100">
        <v>1.0304578233745145</v>
      </c>
      <c r="D882" s="1100">
        <v>1.0130542446442834</v>
      </c>
      <c r="E882" s="1100">
        <v>0.98183819204133116</v>
      </c>
      <c r="F882" s="1100">
        <v>1.007611561029202</v>
      </c>
      <c r="G882" s="1100">
        <v>0.9830448524652009</v>
      </c>
      <c r="H882" s="1100">
        <v>0.99772746873830465</v>
      </c>
      <c r="I882" s="1100">
        <v>1.0030122722086281</v>
      </c>
      <c r="K882">
        <v>1.3152970579593588</v>
      </c>
      <c r="L882">
        <v>0</v>
      </c>
      <c r="M882">
        <v>6.0111301969244463E-4</v>
      </c>
      <c r="N882">
        <v>5.232112872266196E-2</v>
      </c>
      <c r="O882">
        <v>7.4892468730428877E-3</v>
      </c>
      <c r="P882">
        <v>1.6083841884057429E-2</v>
      </c>
      <c r="Q882">
        <v>4.257259439414381E-4</v>
      </c>
      <c r="R882">
        <v>5.9933519872522518E-4</v>
      </c>
      <c r="S882">
        <v>5.846431028989741E-2</v>
      </c>
      <c r="T882">
        <v>1.0407864744822957</v>
      </c>
      <c r="U882">
        <v>0</v>
      </c>
      <c r="V882">
        <v>9.6146657424878712E-2</v>
      </c>
      <c r="W882">
        <v>3.4747157962207155E-2</v>
      </c>
      <c r="X882">
        <v>7.2030993572071893E-3</v>
      </c>
      <c r="Y882">
        <v>1.6311928401349016E-3</v>
      </c>
    </row>
    <row r="883" spans="1:25" x14ac:dyDescent="0.25">
      <c r="A883" s="1096"/>
      <c r="B883" s="1455">
        <v>633</v>
      </c>
      <c r="C883" s="1100">
        <v>1.0404724800216414</v>
      </c>
      <c r="D883" s="1100">
        <v>0.99395180902119595</v>
      </c>
      <c r="E883" s="1100">
        <v>1.0125509449200456</v>
      </c>
      <c r="F883" s="1100">
        <v>0.9985880444534333</v>
      </c>
      <c r="G883" s="1100">
        <v>1.007150911368754</v>
      </c>
      <c r="H883" s="1100">
        <v>0.97865113193768116</v>
      </c>
      <c r="I883" s="1100">
        <v>0.99970902193821565</v>
      </c>
      <c r="K883">
        <v>1.3058697962163508</v>
      </c>
      <c r="L883">
        <v>0</v>
      </c>
      <c r="M883">
        <v>5.5210677757204778E-4</v>
      </c>
      <c r="N883">
        <v>5.2726066755639941E-2</v>
      </c>
      <c r="O883">
        <v>7.4811161154753735E-3</v>
      </c>
      <c r="P883">
        <v>1.6320483202487791E-2</v>
      </c>
      <c r="Q883">
        <v>4.3861846426495926E-4</v>
      </c>
      <c r="R883">
        <v>5.5044206601684732E-4</v>
      </c>
      <c r="S883">
        <v>5.777092149010956E-2</v>
      </c>
      <c r="T883">
        <v>1.0305504123869687</v>
      </c>
      <c r="U883">
        <v>0</v>
      </c>
      <c r="V883">
        <v>9.7115099733289148E-2</v>
      </c>
      <c r="W883">
        <v>3.4381287031938816E-2</v>
      </c>
      <c r="X883">
        <v>7.5893338972111129E-3</v>
      </c>
      <c r="Y883">
        <v>1.4981218505195619E-3</v>
      </c>
    </row>
    <row r="884" spans="1:25" x14ac:dyDescent="0.25">
      <c r="A884" s="1096"/>
      <c r="B884" s="1455">
        <v>634</v>
      </c>
      <c r="C884" s="1100">
        <v>0.99888606137464875</v>
      </c>
      <c r="D884" s="1100">
        <v>0.97747738864443834</v>
      </c>
      <c r="E884" s="1100">
        <v>0.9979057014001449</v>
      </c>
      <c r="F884" s="1100">
        <v>1.0022720544252433</v>
      </c>
      <c r="G884" s="1100">
        <v>0.9904026290999548</v>
      </c>
      <c r="H884" s="1100">
        <v>0.98711947722866056</v>
      </c>
      <c r="I884" s="1100">
        <v>1.022022892803748</v>
      </c>
      <c r="K884">
        <v>1.3192794570953044</v>
      </c>
      <c r="L884">
        <v>0</v>
      </c>
      <c r="M884">
        <v>6.0198676501935298E-4</v>
      </c>
      <c r="N884">
        <v>5.5003699344179431E-2</v>
      </c>
      <c r="O884">
        <v>7.8412121679645348E-3</v>
      </c>
      <c r="P884">
        <v>1.6265982580594245E-2</v>
      </c>
      <c r="Q884">
        <v>4.5303198377829522E-4</v>
      </c>
      <c r="R884">
        <v>6.0018722694297263E-4</v>
      </c>
      <c r="S884">
        <v>6.2327479237297687E-2</v>
      </c>
      <c r="T884">
        <v>1.0347869621042565</v>
      </c>
      <c r="U884">
        <v>0</v>
      </c>
      <c r="V884">
        <v>9.7280312046185938E-2</v>
      </c>
      <c r="W884">
        <v>3.6178733545268717E-2</v>
      </c>
      <c r="X884">
        <v>7.51033184378127E-3</v>
      </c>
      <c r="Y884">
        <v>1.6335117800725834E-3</v>
      </c>
    </row>
    <row r="885" spans="1:25" x14ac:dyDescent="0.25">
      <c r="A885" s="1096"/>
      <c r="B885" s="1455">
        <v>635</v>
      </c>
      <c r="C885" s="1100">
        <v>1.0280924963606339</v>
      </c>
      <c r="D885" s="1100">
        <v>1.0130324500900596</v>
      </c>
      <c r="E885" s="1100">
        <v>1.013707732615226</v>
      </c>
      <c r="F885" s="1100">
        <v>0.98919906048668227</v>
      </c>
      <c r="G885" s="1100">
        <v>0.9582789960544873</v>
      </c>
      <c r="H885" s="1100">
        <v>1.0166498473982617</v>
      </c>
      <c r="I885" s="1100">
        <v>0.98050704704735947</v>
      </c>
      <c r="K885">
        <v>1.2979622837364604</v>
      </c>
      <c r="L885">
        <v>0</v>
      </c>
      <c r="M885">
        <v>5.7466872625904885E-4</v>
      </c>
      <c r="N885">
        <v>5.5078905876898732E-2</v>
      </c>
      <c r="O885">
        <v>7.5141092688343833E-3</v>
      </c>
      <c r="P885">
        <v>1.6173082513324572E-2</v>
      </c>
      <c r="Q885">
        <v>4.4106171250457305E-4</v>
      </c>
      <c r="R885">
        <v>5.7300074955080537E-4</v>
      </c>
      <c r="S885">
        <v>5.7862427560622168E-2</v>
      </c>
      <c r="T885">
        <v>1.0208272967380461</v>
      </c>
      <c r="U885">
        <v>0</v>
      </c>
      <c r="V885">
        <v>9.5038778886300815E-2</v>
      </c>
      <c r="W885">
        <v>3.5891081364762982E-2</v>
      </c>
      <c r="X885">
        <v>7.577688641242592E-3</v>
      </c>
      <c r="Y885">
        <v>1.5595191506309685E-3</v>
      </c>
    </row>
    <row r="886" spans="1:25" x14ac:dyDescent="0.25">
      <c r="A886" s="1096"/>
      <c r="B886" s="1455">
        <v>636</v>
      </c>
      <c r="C886" s="1100">
        <v>0.99189982786629372</v>
      </c>
      <c r="D886" s="1100">
        <v>0.97916691902207897</v>
      </c>
      <c r="E886" s="1100">
        <v>1.002373350887388</v>
      </c>
      <c r="F886" s="1100">
        <v>0.97420426759260892</v>
      </c>
      <c r="G886" s="1100">
        <v>1.0003862655791975</v>
      </c>
      <c r="H886" s="1100">
        <v>1.001907220671673</v>
      </c>
      <c r="I886" s="1100">
        <v>0.99854874744370647</v>
      </c>
      <c r="K886">
        <v>1.292172187489862</v>
      </c>
      <c r="L886">
        <v>0</v>
      </c>
      <c r="M886">
        <v>6.0921143856264759E-4</v>
      </c>
      <c r="N886">
        <v>5.6422737631202702E-2</v>
      </c>
      <c r="O886">
        <v>7.8921022147050001E-3</v>
      </c>
      <c r="P886">
        <v>1.5923482162924947E-2</v>
      </c>
      <c r="Q886">
        <v>4.5802431614975234E-4</v>
      </c>
      <c r="R886">
        <v>6.0741718275402422E-4</v>
      </c>
      <c r="S886">
        <v>6.1730741176065577E-2</v>
      </c>
      <c r="T886">
        <v>1.0056790909922122</v>
      </c>
      <c r="U886">
        <v>0</v>
      </c>
      <c r="V886">
        <v>9.7943024988778937E-2</v>
      </c>
      <c r="W886">
        <v>3.7013704007703388E-2</v>
      </c>
      <c r="X886">
        <v>7.4578849194921921E-3</v>
      </c>
      <c r="Y886">
        <v>1.6531893364359733E-3</v>
      </c>
    </row>
    <row r="887" spans="1:25" x14ac:dyDescent="0.25">
      <c r="A887" s="1096"/>
      <c r="B887" s="1455">
        <v>637</v>
      </c>
      <c r="C887" s="1100">
        <v>1.0052796069236507</v>
      </c>
      <c r="D887" s="1100">
        <v>1.0180364233015331</v>
      </c>
      <c r="E887" s="1100">
        <v>1.001048996058941</v>
      </c>
      <c r="F887" s="1100">
        <v>1.017610447879155</v>
      </c>
      <c r="G887" s="1100">
        <v>0.99410741889018495</v>
      </c>
      <c r="H887" s="1100">
        <v>0.97451997838326743</v>
      </c>
      <c r="I887" s="1100">
        <v>1.0478997064635811</v>
      </c>
      <c r="K887">
        <v>1.33152988501352</v>
      </c>
      <c r="L887">
        <v>0</v>
      </c>
      <c r="M887">
        <v>5.7722212953522614E-4</v>
      </c>
      <c r="N887">
        <v>5.3242146954235826E-2</v>
      </c>
      <c r="O887">
        <v>7.6664236793225829E-3</v>
      </c>
      <c r="P887">
        <v>1.6511252499000654E-2</v>
      </c>
      <c r="Q887">
        <v>4.4433554705801192E-4</v>
      </c>
      <c r="R887">
        <v>5.754743121931282E-4</v>
      </c>
      <c r="S887">
        <v>6.1732017428102047E-2</v>
      </c>
      <c r="T887">
        <v>1.0505276935215837</v>
      </c>
      <c r="U887">
        <v>0</v>
      </c>
      <c r="V887">
        <v>9.7305241158551006E-2</v>
      </c>
      <c r="W887">
        <v>3.4954680378841994E-2</v>
      </c>
      <c r="X887">
        <v>7.581590291432177E-3</v>
      </c>
      <c r="Y887">
        <v>1.566251372733665E-3</v>
      </c>
    </row>
    <row r="888" spans="1:25" x14ac:dyDescent="0.25">
      <c r="A888" s="1096"/>
      <c r="B888" s="1455">
        <v>638</v>
      </c>
      <c r="C888" s="1100">
        <v>1.0125806453027655</v>
      </c>
      <c r="D888" s="1100">
        <v>1.015486683421257</v>
      </c>
      <c r="E888" s="1100">
        <v>0.9896670590262594</v>
      </c>
      <c r="F888" s="1100">
        <v>0.96664085704684688</v>
      </c>
      <c r="G888" s="1100">
        <v>1.0004804790296784</v>
      </c>
      <c r="H888" s="1100">
        <v>1.0098312515474213</v>
      </c>
      <c r="I888" s="1100">
        <v>0.98547360957456975</v>
      </c>
      <c r="K888">
        <v>1.2769903025383447</v>
      </c>
      <c r="L888">
        <v>0</v>
      </c>
      <c r="M888">
        <v>6.0861132159695502E-4</v>
      </c>
      <c r="N888">
        <v>5.4244964949648068E-2</v>
      </c>
      <c r="O888">
        <v>7.6160443475553853E-3</v>
      </c>
      <c r="P888">
        <v>1.5624548726918742E-2</v>
      </c>
      <c r="Q888">
        <v>4.3638135860423198E-4</v>
      </c>
      <c r="R888">
        <v>6.068328987109432E-4</v>
      </c>
      <c r="S888">
        <v>5.8745829762948044E-2</v>
      </c>
      <c r="T888">
        <v>0.99823836546976996</v>
      </c>
      <c r="U888">
        <v>0</v>
      </c>
      <c r="V888">
        <v>9.742317250378689E-2</v>
      </c>
      <c r="W888">
        <v>3.5855677074260711E-2</v>
      </c>
      <c r="X888">
        <v>7.1554976598572698E-3</v>
      </c>
      <c r="Y888">
        <v>1.6515991078798903E-3</v>
      </c>
    </row>
    <row r="889" spans="1:25" x14ac:dyDescent="0.25">
      <c r="A889" s="1096"/>
      <c r="B889" s="1455">
        <v>639</v>
      </c>
      <c r="C889" s="1100">
        <v>1.0404707084052944</v>
      </c>
      <c r="D889" s="1100">
        <v>1.0371732697352107</v>
      </c>
      <c r="E889" s="1100">
        <v>1.0075129809659777</v>
      </c>
      <c r="F889" s="1100">
        <v>0.99937767948935829</v>
      </c>
      <c r="G889" s="1100">
        <v>0.99377468659210166</v>
      </c>
      <c r="H889" s="1100">
        <v>1.0247602215484932</v>
      </c>
      <c r="I889" s="1100">
        <v>0.98660090286454516</v>
      </c>
      <c r="K889">
        <v>1.3074721693687128</v>
      </c>
      <c r="L889">
        <v>0</v>
      </c>
      <c r="M889">
        <v>5.7434031051153186E-4</v>
      </c>
      <c r="N889">
        <v>5.4028792129470066E-2</v>
      </c>
      <c r="O889">
        <v>7.353658533908217E-3</v>
      </c>
      <c r="P889">
        <v>1.6253964888168208E-2</v>
      </c>
      <c r="Q889">
        <v>4.2897979954626254E-4</v>
      </c>
      <c r="R889">
        <v>5.7268648054033331E-4</v>
      </c>
      <c r="S889">
        <v>5.7035542490745904E-2</v>
      </c>
      <c r="T889">
        <v>1.0315136810943293</v>
      </c>
      <c r="U889">
        <v>0</v>
      </c>
      <c r="V889">
        <v>9.6462430436321148E-2</v>
      </c>
      <c r="W889">
        <v>3.5335575565646433E-2</v>
      </c>
      <c r="X889">
        <v>7.5025344465651086E-3</v>
      </c>
      <c r="Y889">
        <v>1.5586638139832144E-3</v>
      </c>
    </row>
    <row r="890" spans="1:25" x14ac:dyDescent="0.25">
      <c r="A890" s="1096"/>
      <c r="B890" s="1455">
        <v>640</v>
      </c>
      <c r="C890" s="1100">
        <v>0.95544902020094424</v>
      </c>
      <c r="D890" s="1100">
        <v>0.98987744319689919</v>
      </c>
      <c r="E890" s="1100">
        <v>1.0100271710909419</v>
      </c>
      <c r="F890" s="1100">
        <v>1.0154080331828583</v>
      </c>
      <c r="G890" s="1100">
        <v>0.99309618466662641</v>
      </c>
      <c r="H890" s="1100">
        <v>0.97420490567788465</v>
      </c>
      <c r="I890" s="1100">
        <v>1.0230517505219601</v>
      </c>
      <c r="K890">
        <v>1.3400793971308949</v>
      </c>
      <c r="L890">
        <v>0</v>
      </c>
      <c r="M890">
        <v>6.02642349480308E-4</v>
      </c>
      <c r="N890">
        <v>5.7114615399298838E-2</v>
      </c>
      <c r="O890">
        <v>8.1595897312408162E-3</v>
      </c>
      <c r="P890">
        <v>1.6640198299302814E-2</v>
      </c>
      <c r="Q890">
        <v>4.7719287553527957E-4</v>
      </c>
      <c r="R890">
        <v>6.0081697004371896E-4</v>
      </c>
      <c r="S890">
        <v>6.4374627974206802E-2</v>
      </c>
      <c r="T890">
        <v>1.0479841851649336</v>
      </c>
      <c r="U890">
        <v>0</v>
      </c>
      <c r="V890">
        <v>9.8552271865033014E-2</v>
      </c>
      <c r="W890">
        <v>3.7298354874581045E-2</v>
      </c>
      <c r="X890">
        <v>7.844960593001115E-3</v>
      </c>
      <c r="Y890">
        <v>1.6352257331980575E-3</v>
      </c>
    </row>
    <row r="891" spans="1:25" x14ac:dyDescent="0.25">
      <c r="A891" s="1096"/>
      <c r="B891" s="1455">
        <v>641</v>
      </c>
      <c r="C891" s="1100">
        <v>0.97419167740651791</v>
      </c>
      <c r="D891" s="1100">
        <v>1.0119943747006848</v>
      </c>
      <c r="E891" s="1100">
        <v>1.0167372999020499</v>
      </c>
      <c r="F891" s="1100">
        <v>0.97001720829876514</v>
      </c>
      <c r="G891" s="1100">
        <v>1.0041031388573178</v>
      </c>
      <c r="H891" s="1100">
        <v>0.99242547545702919</v>
      </c>
      <c r="I891" s="1100">
        <v>1.0209481840465082</v>
      </c>
      <c r="K891">
        <v>1.2900522646659343</v>
      </c>
      <c r="L891">
        <v>0</v>
      </c>
      <c r="M891">
        <v>5.8853777756279061E-4</v>
      </c>
      <c r="N891">
        <v>5.6922225820141337E-2</v>
      </c>
      <c r="O891">
        <v>7.9338698469491979E-3</v>
      </c>
      <c r="P891">
        <v>1.605264789282387E-2</v>
      </c>
      <c r="Q891">
        <v>4.6710916768475156E-4</v>
      </c>
      <c r="R891">
        <v>5.8678784924426851E-4</v>
      </c>
      <c r="S891">
        <v>6.2848743300233476E-2</v>
      </c>
      <c r="T891">
        <v>1.0009459903323066</v>
      </c>
      <c r="U891">
        <v>0</v>
      </c>
      <c r="V891">
        <v>9.859328139947493E-2</v>
      </c>
      <c r="W891">
        <v>3.7026311072336587E-2</v>
      </c>
      <c r="X891">
        <v>7.6667926712205613E-3</v>
      </c>
      <c r="Y891">
        <v>1.5970430910803824E-3</v>
      </c>
    </row>
    <row r="892" spans="1:25" x14ac:dyDescent="0.25">
      <c r="A892" s="1096"/>
      <c r="B892" s="1455">
        <v>642</v>
      </c>
      <c r="C892" s="1100">
        <v>1.0149921935932931</v>
      </c>
      <c r="D892" s="1100">
        <v>0.98999107620095528</v>
      </c>
      <c r="E892" s="1100">
        <v>0.98479554788872592</v>
      </c>
      <c r="F892" s="1100">
        <v>1.0193088222267177</v>
      </c>
      <c r="G892" s="1100">
        <v>1.0231472729255715</v>
      </c>
      <c r="H892" s="1100">
        <v>0.99353631333639336</v>
      </c>
      <c r="I892" s="1100">
        <v>0.99456643939449341</v>
      </c>
      <c r="K892">
        <v>1.3331707110983606</v>
      </c>
      <c r="L892">
        <v>0</v>
      </c>
      <c r="M892">
        <v>6.0959142093465436E-4</v>
      </c>
      <c r="N892">
        <v>5.3535206317231826E-2</v>
      </c>
      <c r="O892">
        <v>7.674441240954003E-3</v>
      </c>
      <c r="P892">
        <v>1.6326239891820374E-2</v>
      </c>
      <c r="Q892">
        <v>4.3756417149638511E-4</v>
      </c>
      <c r="R892">
        <v>6.077809193066121E-4</v>
      </c>
      <c r="S892">
        <v>5.9463915905309826E-2</v>
      </c>
      <c r="T892">
        <v>1.0527776320976308</v>
      </c>
      <c r="U892">
        <v>0</v>
      </c>
      <c r="V892">
        <v>9.8456090743706093E-2</v>
      </c>
      <c r="W892">
        <v>3.549017751822952E-2</v>
      </c>
      <c r="X892">
        <v>7.3570744061830246E-3</v>
      </c>
      <c r="Y892">
        <v>1.6541793074263953E-3</v>
      </c>
    </row>
    <row r="893" spans="1:25" x14ac:dyDescent="0.25">
      <c r="A893" s="1096"/>
      <c r="B893" s="1455">
        <v>643</v>
      </c>
      <c r="C893" s="1100">
        <v>0.95705468493028711</v>
      </c>
      <c r="D893" s="1100">
        <v>1.0187276770070917</v>
      </c>
      <c r="E893" s="1100">
        <v>1.0170530710372956</v>
      </c>
      <c r="F893" s="1100">
        <v>0.99245791792038873</v>
      </c>
      <c r="G893" s="1100">
        <v>1.0319773945052406</v>
      </c>
      <c r="H893" s="1100">
        <v>0.96899548811295244</v>
      </c>
      <c r="I893" s="1100">
        <v>1.0215130620683641</v>
      </c>
      <c r="K893">
        <v>1.3149781919972678</v>
      </c>
      <c r="L893">
        <v>0</v>
      </c>
      <c r="M893">
        <v>5.8300012935986827E-4</v>
      </c>
      <c r="N893">
        <v>5.6436317922199435E-2</v>
      </c>
      <c r="O893">
        <v>8.0546203758706577E-3</v>
      </c>
      <c r="P893">
        <v>1.6403451240374491E-2</v>
      </c>
      <c r="Q893">
        <v>4.7436754011075479E-4</v>
      </c>
      <c r="R893">
        <v>5.8122475184761919E-4</v>
      </c>
      <c r="S893">
        <v>6.3024353106066799E-2</v>
      </c>
      <c r="T893">
        <v>1.0240930462677271</v>
      </c>
      <c r="U893">
        <v>0</v>
      </c>
      <c r="V893">
        <v>0.10039790608456454</v>
      </c>
      <c r="W893">
        <v>3.6703443707799772E-2</v>
      </c>
      <c r="X893">
        <v>7.8105589562236155E-3</v>
      </c>
      <c r="Y893">
        <v>1.5819021738412665E-3</v>
      </c>
    </row>
    <row r="894" spans="1:25" x14ac:dyDescent="0.25">
      <c r="A894" s="1096"/>
      <c r="B894" s="1455">
        <v>644</v>
      </c>
      <c r="C894" s="1100">
        <v>0.99989961594672949</v>
      </c>
      <c r="D894" s="1100">
        <v>0.98209365813753657</v>
      </c>
      <c r="E894" s="1100">
        <v>1.0223000611337909</v>
      </c>
      <c r="F894" s="1100">
        <v>0.97125136754312191</v>
      </c>
      <c r="G894" s="1100">
        <v>1.036118287883097</v>
      </c>
      <c r="H894" s="1100">
        <v>0.99922683437811499</v>
      </c>
      <c r="I894" s="1100">
        <v>0.97697903058700653</v>
      </c>
      <c r="K894">
        <v>1.2886317495823321</v>
      </c>
      <c r="L894">
        <v>0</v>
      </c>
      <c r="M894">
        <v>5.7758028563658107E-4</v>
      </c>
      <c r="N894">
        <v>5.6808999429240829E-2</v>
      </c>
      <c r="O894">
        <v>7.8245567658913572E-3</v>
      </c>
      <c r="P894">
        <v>1.6103329142609046E-2</v>
      </c>
      <c r="Q894">
        <v>4.6322867115134548E-4</v>
      </c>
      <c r="R894">
        <v>5.7587462710473856E-4</v>
      </c>
      <c r="S894">
        <v>5.9756847263692819E-2</v>
      </c>
      <c r="T894">
        <v>1.0020618174209006</v>
      </c>
      <c r="U894">
        <v>0</v>
      </c>
      <c r="V894">
        <v>9.9494330819229287E-2</v>
      </c>
      <c r="W894">
        <v>3.6832547648301392E-2</v>
      </c>
      <c r="X894">
        <v>7.7204571818871174E-3</v>
      </c>
      <c r="Y894">
        <v>1.5673408979592933E-3</v>
      </c>
    </row>
    <row r="895" spans="1:25" x14ac:dyDescent="0.25">
      <c r="A895" s="1096"/>
      <c r="B895" s="1455">
        <v>645</v>
      </c>
      <c r="C895" s="1100">
        <v>0.96810184182404579</v>
      </c>
      <c r="D895" s="1100">
        <v>1.0093940060590951</v>
      </c>
      <c r="E895" s="1100">
        <v>1.0056394241520086</v>
      </c>
      <c r="F895" s="1100">
        <v>0.9951163562920915</v>
      </c>
      <c r="G895" s="1100">
        <v>1.0016358921773867</v>
      </c>
      <c r="H895" s="1100">
        <v>0.99619975302202601</v>
      </c>
      <c r="I895" s="1100">
        <v>0.97806345515882087</v>
      </c>
      <c r="K895">
        <v>1.3148097534063263</v>
      </c>
      <c r="L895">
        <v>0</v>
      </c>
      <c r="M895">
        <v>6.0898703442015137E-4</v>
      </c>
      <c r="N895">
        <v>5.6960126690065338E-2</v>
      </c>
      <c r="O895">
        <v>7.9891901039263139E-3</v>
      </c>
      <c r="P895">
        <v>1.6252759582567451E-2</v>
      </c>
      <c r="Q895">
        <v>4.6518019554041116E-4</v>
      </c>
      <c r="R895">
        <v>6.0718316359300911E-4</v>
      </c>
      <c r="S895">
        <v>6.077637069590705E-2</v>
      </c>
      <c r="T895">
        <v>1.0271704599935432</v>
      </c>
      <c r="U895">
        <v>0</v>
      </c>
      <c r="V895">
        <v>9.8621388477567865E-2</v>
      </c>
      <c r="W895">
        <v>3.7293999382148758E-2</v>
      </c>
      <c r="X895">
        <v>7.6295297424629352E-3</v>
      </c>
      <c r="Y895">
        <v>1.6525524134240858E-3</v>
      </c>
    </row>
    <row r="896" spans="1:25" x14ac:dyDescent="0.25">
      <c r="A896" s="1096"/>
      <c r="B896" s="1455">
        <v>646</v>
      </c>
      <c r="C896" s="1100">
        <v>1.0492632612909103</v>
      </c>
      <c r="D896" s="1100">
        <v>0.9592878779509747</v>
      </c>
      <c r="E896" s="1100">
        <v>0.9795031550592832</v>
      </c>
      <c r="F896" s="1100">
        <v>0.98317477750090221</v>
      </c>
      <c r="G896" s="1100">
        <v>1.0188860092326948</v>
      </c>
      <c r="H896" s="1100">
        <v>0.97323768069795169</v>
      </c>
      <c r="I896" s="1100">
        <v>0.97452907959693569</v>
      </c>
      <c r="K896">
        <v>1.2872061744912542</v>
      </c>
      <c r="L896">
        <v>0</v>
      </c>
      <c r="M896">
        <v>5.9139755492520986E-4</v>
      </c>
      <c r="N896">
        <v>5.1109299099883654E-2</v>
      </c>
      <c r="O896">
        <v>7.5166686691028762E-3</v>
      </c>
      <c r="P896">
        <v>1.5711536121153034E-2</v>
      </c>
      <c r="Q896">
        <v>4.2627222834765746E-4</v>
      </c>
      <c r="R896">
        <v>5.8960445526646654E-4</v>
      </c>
      <c r="S896">
        <v>5.6735446564491129E-2</v>
      </c>
      <c r="T896">
        <v>1.0156147859237317</v>
      </c>
      <c r="U896">
        <v>0</v>
      </c>
      <c r="V896">
        <v>9.7446861788566208E-2</v>
      </c>
      <c r="W896">
        <v>3.3990231109300738E-2</v>
      </c>
      <c r="X896">
        <v>7.0521571221551184E-3</v>
      </c>
      <c r="Y896">
        <v>1.6047089641788796E-3</v>
      </c>
    </row>
    <row r="897" spans="1:25" x14ac:dyDescent="0.25">
      <c r="A897" s="1096"/>
      <c r="B897" s="1455">
        <v>647</v>
      </c>
      <c r="C897" s="1100">
        <v>1.0479300516298446</v>
      </c>
      <c r="D897" s="1100">
        <v>0.97856951186806118</v>
      </c>
      <c r="E897" s="1100">
        <v>1.0271039176897505</v>
      </c>
      <c r="F897" s="1100">
        <v>0.97344900724912298</v>
      </c>
      <c r="G897" s="1100">
        <v>1.0280419775726035</v>
      </c>
      <c r="H897" s="1100">
        <v>1.0262541365946791</v>
      </c>
      <c r="I897" s="1100">
        <v>1.0108518746961777</v>
      </c>
      <c r="K897">
        <v>1.2876313438664184</v>
      </c>
      <c r="L897">
        <v>0</v>
      </c>
      <c r="M897">
        <v>5.6118733327881849E-4</v>
      </c>
      <c r="N897">
        <v>5.6006473173776959E-2</v>
      </c>
      <c r="O897">
        <v>7.4778115821135934E-3</v>
      </c>
      <c r="P897">
        <v>1.6170587954032319E-2</v>
      </c>
      <c r="Q897">
        <v>4.4481448242197186E-4</v>
      </c>
      <c r="R897">
        <v>5.5957373003761701E-4</v>
      </c>
      <c r="S897">
        <v>5.9916792506822199E-2</v>
      </c>
      <c r="T897">
        <v>1.0041934097900997</v>
      </c>
      <c r="U897">
        <v>0</v>
      </c>
      <c r="V897">
        <v>9.7972522056376646E-2</v>
      </c>
      <c r="W897">
        <v>3.6210686311848594E-2</v>
      </c>
      <c r="X897">
        <v>7.7168843824347447E-3</v>
      </c>
      <c r="Y897">
        <v>1.522975229731862E-3</v>
      </c>
    </row>
    <row r="898" spans="1:25" x14ac:dyDescent="0.25">
      <c r="A898" s="1096"/>
      <c r="B898" s="1455">
        <v>648</v>
      </c>
      <c r="C898" s="1100">
        <v>1.0260643328141192</v>
      </c>
      <c r="D898" s="1100">
        <v>1.0171044146670445</v>
      </c>
      <c r="E898" s="1100">
        <v>1.01566400724342</v>
      </c>
      <c r="F898" s="1100">
        <v>0.98554882608591243</v>
      </c>
      <c r="G898" s="1100">
        <v>1.0016769230260234</v>
      </c>
      <c r="H898" s="1100">
        <v>1.0408974893397622</v>
      </c>
      <c r="I898" s="1100">
        <v>1.0292772600196638</v>
      </c>
      <c r="K898">
        <v>1.3023727633935394</v>
      </c>
      <c r="L898">
        <v>0</v>
      </c>
      <c r="M898">
        <v>5.8620368133931817E-4</v>
      </c>
      <c r="N898">
        <v>5.6520993633415138E-2</v>
      </c>
      <c r="O898">
        <v>7.5173565356775373E-3</v>
      </c>
      <c r="P898">
        <v>1.6223117995475659E-2</v>
      </c>
      <c r="Q898">
        <v>4.4211383135124013E-4</v>
      </c>
      <c r="R898">
        <v>5.8454185974211252E-4</v>
      </c>
      <c r="S898">
        <v>6.1469943035086183E-2</v>
      </c>
      <c r="T898">
        <v>1.0170038058859117</v>
      </c>
      <c r="U898">
        <v>0</v>
      </c>
      <c r="V898">
        <v>9.7188262630900232E-2</v>
      </c>
      <c r="W898">
        <v>3.6788483345383295E-2</v>
      </c>
      <c r="X898">
        <v>7.6294180738903034E-3</v>
      </c>
      <c r="Y898">
        <v>1.590930248045754E-3</v>
      </c>
    </row>
    <row r="899" spans="1:25" x14ac:dyDescent="0.25">
      <c r="A899" s="1096"/>
      <c r="B899" s="1455">
        <v>649</v>
      </c>
      <c r="C899" s="1100">
        <v>0.9976246134290786</v>
      </c>
      <c r="D899" s="1100">
        <v>1.0156389724287453</v>
      </c>
      <c r="E899" s="1100">
        <v>0.98539980587269427</v>
      </c>
      <c r="F899" s="1100">
        <v>1.0099175455947365</v>
      </c>
      <c r="G899" s="1100">
        <v>0.99071465419368299</v>
      </c>
      <c r="H899" s="1100">
        <v>1.000544977516183</v>
      </c>
      <c r="I899" s="1100">
        <v>1.01203692272879</v>
      </c>
      <c r="K899">
        <v>1.325024074095476</v>
      </c>
      <c r="L899">
        <v>0</v>
      </c>
      <c r="M899">
        <v>6.174488020221305E-4</v>
      </c>
      <c r="N899">
        <v>5.4325578889100508E-2</v>
      </c>
      <c r="O899">
        <v>7.7287162725976624E-3</v>
      </c>
      <c r="P899">
        <v>1.6207082622543726E-2</v>
      </c>
      <c r="Q899">
        <v>4.4092865861213807E-4</v>
      </c>
      <c r="R899">
        <v>6.1562780953329261E-4</v>
      </c>
      <c r="S899">
        <v>6.0938824168370667E-2</v>
      </c>
      <c r="T899">
        <v>1.0430595589573255</v>
      </c>
      <c r="U899">
        <v>0</v>
      </c>
      <c r="V899">
        <v>9.7312894543848324E-2</v>
      </c>
      <c r="W899">
        <v>3.6001055471751323E-2</v>
      </c>
      <c r="X899">
        <v>7.3357195479183089E-3</v>
      </c>
      <c r="Y899">
        <v>1.6755359558967512E-3</v>
      </c>
    </row>
    <row r="900" spans="1:25" x14ac:dyDescent="0.25">
      <c r="A900" s="1096"/>
      <c r="B900" s="1455">
        <v>650</v>
      </c>
      <c r="C900" s="1100">
        <v>0.98526884552573157</v>
      </c>
      <c r="D900" s="1100">
        <v>1.0297986388349853</v>
      </c>
      <c r="E900" s="1100">
        <v>1.0061325451397407</v>
      </c>
      <c r="F900" s="1100">
        <v>0.97779391542370686</v>
      </c>
      <c r="G900" s="1100">
        <v>1.0255251951483109</v>
      </c>
      <c r="H900" s="1100">
        <v>0.96003818030650667</v>
      </c>
      <c r="I900" s="1100">
        <v>1.0126065314783237</v>
      </c>
      <c r="K900">
        <v>1.2905012375089664</v>
      </c>
      <c r="L900">
        <v>0</v>
      </c>
      <c r="M900">
        <v>5.7147224643396498E-4</v>
      </c>
      <c r="N900">
        <v>5.3524939495475196E-2</v>
      </c>
      <c r="O900">
        <v>7.7875203100132469E-3</v>
      </c>
      <c r="P900">
        <v>1.6013244951698275E-2</v>
      </c>
      <c r="Q900">
        <v>4.5366181208009751E-4</v>
      </c>
      <c r="R900">
        <v>5.6971573712006121E-4</v>
      </c>
      <c r="S900">
        <v>6.0045583155017457E-2</v>
      </c>
      <c r="T900">
        <v>1.0092757714716563</v>
      </c>
      <c r="U900">
        <v>0</v>
      </c>
      <c r="V900">
        <v>9.9331602743714262E-2</v>
      </c>
      <c r="W900">
        <v>3.5034627371863206E-2</v>
      </c>
      <c r="X900">
        <v>7.4854642770617076E-3</v>
      </c>
      <c r="Y900">
        <v>1.5505784296985391E-3</v>
      </c>
    </row>
    <row r="901" spans="1:25" x14ac:dyDescent="0.25">
      <c r="A901" s="1096"/>
      <c r="B901" s="1455">
        <v>651</v>
      </c>
      <c r="C901" s="1100">
        <v>1.0121070800339935</v>
      </c>
      <c r="D901" s="1100">
        <v>0.9924810563179205</v>
      </c>
      <c r="E901" s="1100">
        <v>0.9950832610351189</v>
      </c>
      <c r="F901" s="1100">
        <v>1.0011292008583432</v>
      </c>
      <c r="G901" s="1100">
        <v>0.99614010026476274</v>
      </c>
      <c r="H901" s="1100">
        <v>1.0023676967159547</v>
      </c>
      <c r="I901" s="1100">
        <v>1.0044680610746384</v>
      </c>
      <c r="K901">
        <v>1.3153776072064118</v>
      </c>
      <c r="L901">
        <v>0</v>
      </c>
      <c r="M901">
        <v>6.0315482780730063E-4</v>
      </c>
      <c r="N901">
        <v>5.4644858145859836E-2</v>
      </c>
      <c r="O901">
        <v>7.6910873591636711E-3</v>
      </c>
      <c r="P901">
        <v>1.619021966349795E-2</v>
      </c>
      <c r="Q901">
        <v>4.4309708217468361E-4</v>
      </c>
      <c r="R901">
        <v>6.0137922605675868E-4</v>
      </c>
      <c r="S901">
        <v>6.0424307608475739E-2</v>
      </c>
      <c r="T901">
        <v>1.0336914333684395</v>
      </c>
      <c r="U901">
        <v>0</v>
      </c>
      <c r="V901">
        <v>9.723065539303094E-2</v>
      </c>
      <c r="W901">
        <v>3.6003217504135002E-2</v>
      </c>
      <c r="X901">
        <v>7.4237506746669237E-3</v>
      </c>
      <c r="Y901">
        <v>1.6367560087179069E-3</v>
      </c>
    </row>
    <row r="902" spans="1:25" x14ac:dyDescent="0.25">
      <c r="A902" s="1096"/>
      <c r="B902" s="1455">
        <v>652</v>
      </c>
      <c r="C902" s="1100">
        <v>1.0261245427966856</v>
      </c>
      <c r="D902" s="1100">
        <v>1.0129027622688718</v>
      </c>
      <c r="E902" s="1100">
        <v>0.97344345053555281</v>
      </c>
      <c r="F902" s="1100">
        <v>0.97629655910227875</v>
      </c>
      <c r="G902" s="1100">
        <v>1.0084679793542335</v>
      </c>
      <c r="H902" s="1100">
        <v>0.99592548600880693</v>
      </c>
      <c r="I902" s="1100">
        <v>1.0028947342549479</v>
      </c>
      <c r="K902">
        <v>1.2836900575106271</v>
      </c>
      <c r="L902">
        <v>0</v>
      </c>
      <c r="M902">
        <v>6.1314478338269241E-4</v>
      </c>
      <c r="N902">
        <v>5.2029402743468435E-2</v>
      </c>
      <c r="O902">
        <v>7.5193327716401121E-3</v>
      </c>
      <c r="P902">
        <v>1.5572441578704733E-2</v>
      </c>
      <c r="Q902">
        <v>4.2379987881072746E-4</v>
      </c>
      <c r="R902">
        <v>6.1132809679542341E-4</v>
      </c>
      <c r="S902">
        <v>5.8647627701150062E-2</v>
      </c>
      <c r="T902">
        <v>1.0086898733741367</v>
      </c>
      <c r="U902">
        <v>0</v>
      </c>
      <c r="V902">
        <v>9.7468717510499736E-2</v>
      </c>
      <c r="W902">
        <v>3.4729342742505699E-2</v>
      </c>
      <c r="X902">
        <v>6.9475023410719965E-3</v>
      </c>
      <c r="Y902">
        <v>1.6638335552241947E-3</v>
      </c>
    </row>
    <row r="903" spans="1:25" x14ac:dyDescent="0.25">
      <c r="A903" s="1096"/>
      <c r="B903" s="1455">
        <v>653</v>
      </c>
      <c r="C903" s="1100">
        <v>0.99606659230581451</v>
      </c>
      <c r="D903" s="1100">
        <v>0.99036249336428972</v>
      </c>
      <c r="E903" s="1100">
        <v>1.006234135490484</v>
      </c>
      <c r="F903" s="1100">
        <v>0.97971251121171055</v>
      </c>
      <c r="G903" s="1100">
        <v>0.99999642823143076</v>
      </c>
      <c r="H903" s="1100">
        <v>0.98302991206553003</v>
      </c>
      <c r="I903" s="1100">
        <v>1.0059645361684315</v>
      </c>
      <c r="K903">
        <v>1.2945914599864392</v>
      </c>
      <c r="L903">
        <v>0</v>
      </c>
      <c r="M903">
        <v>5.8780245175671278E-4</v>
      </c>
      <c r="N903">
        <v>5.5075314574677216E-2</v>
      </c>
      <c r="O903">
        <v>7.8243850839708438E-3</v>
      </c>
      <c r="P903">
        <v>1.603357615885859E-2</v>
      </c>
      <c r="Q903">
        <v>4.5585575775339775E-4</v>
      </c>
      <c r="R903">
        <v>5.8603800532161954E-4</v>
      </c>
      <c r="S903">
        <v>6.0971712124146496E-2</v>
      </c>
      <c r="T903">
        <v>1.0112531957672981</v>
      </c>
      <c r="U903">
        <v>0</v>
      </c>
      <c r="V903">
        <v>9.7823964434256921E-2</v>
      </c>
      <c r="W903">
        <v>3.6047255856276501E-2</v>
      </c>
      <c r="X903">
        <v>7.5129624125253678E-3</v>
      </c>
      <c r="Y903">
        <v>1.5950022631089141E-3</v>
      </c>
    </row>
    <row r="904" spans="1:25" x14ac:dyDescent="0.25">
      <c r="A904" s="1096"/>
      <c r="B904" s="1455">
        <v>654</v>
      </c>
      <c r="C904" s="1100">
        <v>1.0482416252745754</v>
      </c>
      <c r="D904" s="1100">
        <v>0.96892938078980362</v>
      </c>
      <c r="E904" s="1100">
        <v>0.98045104334386557</v>
      </c>
      <c r="F904" s="1100">
        <v>0.97808998520358248</v>
      </c>
      <c r="G904" s="1100">
        <v>1.0023270547267771</v>
      </c>
      <c r="H904" s="1100">
        <v>0.98794987092604014</v>
      </c>
      <c r="I904" s="1100">
        <v>1.008615606024706</v>
      </c>
      <c r="K904">
        <v>1.2843453190075569</v>
      </c>
      <c r="L904">
        <v>0</v>
      </c>
      <c r="M904">
        <v>5.973516800401379E-4</v>
      </c>
      <c r="N904">
        <v>5.1774475906888252E-2</v>
      </c>
      <c r="O904">
        <v>7.4941812159954567E-3</v>
      </c>
      <c r="P904">
        <v>1.5670538066871593E-2</v>
      </c>
      <c r="Q904">
        <v>4.2540661711916482E-4</v>
      </c>
      <c r="R904">
        <v>5.9556749867529157E-4</v>
      </c>
      <c r="S904">
        <v>5.8899503977542379E-2</v>
      </c>
      <c r="T904">
        <v>1.0103340695348091</v>
      </c>
      <c r="U904">
        <v>0</v>
      </c>
      <c r="V904">
        <v>9.6669943491323865E-2</v>
      </c>
      <c r="W904">
        <v>3.4412904371418036E-2</v>
      </c>
      <c r="X904">
        <v>7.0451416043333347E-3</v>
      </c>
      <c r="Y904">
        <v>1.6209384026209695E-3</v>
      </c>
    </row>
    <row r="905" spans="1:25" x14ac:dyDescent="0.25">
      <c r="A905" s="1096"/>
      <c r="B905" s="1455">
        <v>655</v>
      </c>
      <c r="C905" s="1100">
        <v>0.99479016633166917</v>
      </c>
      <c r="D905" s="1100">
        <v>1.0355870209014575</v>
      </c>
      <c r="E905" s="1100">
        <v>0.99398742473530988</v>
      </c>
      <c r="F905" s="1100">
        <v>1.0038206910435017</v>
      </c>
      <c r="G905" s="1100">
        <v>1.0165243981589411</v>
      </c>
      <c r="H905" s="1100">
        <v>1.0332593842585116</v>
      </c>
      <c r="I905" s="1100">
        <v>1.0010908127382268</v>
      </c>
      <c r="K905">
        <v>1.3228746279587851</v>
      </c>
      <c r="L905">
        <v>0</v>
      </c>
      <c r="M905">
        <v>6.2331372442971165E-4</v>
      </c>
      <c r="N905">
        <v>5.6289462010785454E-2</v>
      </c>
      <c r="O905">
        <v>7.6927555798526831E-3</v>
      </c>
      <c r="P905">
        <v>1.6239709326211615E-2</v>
      </c>
      <c r="Q905">
        <v>4.4270379930348974E-4</v>
      </c>
      <c r="R905">
        <v>6.2153363775351413E-4</v>
      </c>
      <c r="S905">
        <v>6.0824491239450135E-2</v>
      </c>
      <c r="T905">
        <v>1.0365033871846221</v>
      </c>
      <c r="U905">
        <v>0</v>
      </c>
      <c r="V905">
        <v>9.8641740170705594E-2</v>
      </c>
      <c r="W905">
        <v>3.7111045622724936E-2</v>
      </c>
      <c r="X905">
        <v>7.4395034383478581E-3</v>
      </c>
      <c r="Y905">
        <v>1.6916096734564449E-3</v>
      </c>
    </row>
    <row r="906" spans="1:25" x14ac:dyDescent="0.25">
      <c r="A906" s="1096"/>
      <c r="B906" s="1455">
        <v>656</v>
      </c>
      <c r="C906" s="1100">
        <v>1.0217455393108281</v>
      </c>
      <c r="D906" s="1100">
        <v>0.99422298747172477</v>
      </c>
      <c r="E906" s="1100">
        <v>1.0028241617291489</v>
      </c>
      <c r="F906" s="1100">
        <v>0.97289675292318911</v>
      </c>
      <c r="G906" s="1100">
        <v>0.98369792157220692</v>
      </c>
      <c r="H906" s="1100">
        <v>1.0123375795829102</v>
      </c>
      <c r="I906" s="1100">
        <v>1.0195273300665166</v>
      </c>
      <c r="K906">
        <v>1.2857833830142704</v>
      </c>
      <c r="L906">
        <v>0</v>
      </c>
      <c r="M906">
        <v>5.933813029714495E-4</v>
      </c>
      <c r="N906">
        <v>5.5033175797998983E-2</v>
      </c>
      <c r="O906">
        <v>7.6150565466205919E-3</v>
      </c>
      <c r="P906">
        <v>1.5879282922802038E-2</v>
      </c>
      <c r="Q906">
        <v>4.4214577774083296E-4</v>
      </c>
      <c r="R906">
        <v>5.9165167652402127E-4</v>
      </c>
      <c r="S906">
        <v>6.1006608971512374E-2</v>
      </c>
      <c r="T906">
        <v>1.004316312035797</v>
      </c>
      <c r="U906">
        <v>0</v>
      </c>
      <c r="V906">
        <v>9.6406319071282512E-2</v>
      </c>
      <c r="W906">
        <v>3.6092489888263406E-2</v>
      </c>
      <c r="X906">
        <v>7.3834408031239239E-3</v>
      </c>
      <c r="Y906">
        <v>1.6102808255756378E-3</v>
      </c>
    </row>
    <row r="907" spans="1:25" x14ac:dyDescent="0.25">
      <c r="A907" s="1096"/>
      <c r="B907" s="1455">
        <v>657</v>
      </c>
      <c r="C907" s="1100">
        <v>0.98147806051950837</v>
      </c>
      <c r="D907" s="1100">
        <v>0.97037524177657897</v>
      </c>
      <c r="E907" s="1100">
        <v>1.0184207032075756</v>
      </c>
      <c r="F907" s="1100">
        <v>1.0194383398843849</v>
      </c>
      <c r="G907" s="1100">
        <v>1.044642506119525</v>
      </c>
      <c r="H907" s="1100">
        <v>0.97532721512489751</v>
      </c>
      <c r="I907" s="1100">
        <v>0.97533085008089271</v>
      </c>
      <c r="K907">
        <v>1.3407636367883826</v>
      </c>
      <c r="L907">
        <v>0</v>
      </c>
      <c r="M907">
        <v>5.8178880171981691E-4</v>
      </c>
      <c r="N907">
        <v>5.6553061619201365E-2</v>
      </c>
      <c r="O907">
        <v>8.0087994335101571E-3</v>
      </c>
      <c r="P907">
        <v>1.6767997308699656E-2</v>
      </c>
      <c r="Q907">
        <v>4.7231149774469171E-4</v>
      </c>
      <c r="R907">
        <v>5.80028614622027E-4</v>
      </c>
      <c r="S907">
        <v>6.0430792091652835E-2</v>
      </c>
      <c r="T907">
        <v>1.0518927195507142</v>
      </c>
      <c r="U907">
        <v>0</v>
      </c>
      <c r="V907">
        <v>0.10036768666514977</v>
      </c>
      <c r="W907">
        <v>3.6749898983102325E-2</v>
      </c>
      <c r="X907">
        <v>7.9434831430834473E-3</v>
      </c>
      <c r="Y907">
        <v>1.5786466826197352E-3</v>
      </c>
    </row>
    <row r="908" spans="1:25" x14ac:dyDescent="0.25">
      <c r="A908" s="1096"/>
      <c r="B908" s="1455">
        <v>658</v>
      </c>
      <c r="C908" s="1100">
        <v>0.96891528742420463</v>
      </c>
      <c r="D908" s="1100">
        <v>0.99703588525551645</v>
      </c>
      <c r="E908" s="1100">
        <v>1.0258908355081191</v>
      </c>
      <c r="F908" s="1100">
        <v>0.98826685011981419</v>
      </c>
      <c r="G908" s="1100">
        <v>1.0273841533322716</v>
      </c>
      <c r="H908" s="1100">
        <v>0.97327011440629929</v>
      </c>
      <c r="I908" s="1100">
        <v>0.99017132386803741</v>
      </c>
      <c r="K908">
        <v>1.3087362777393552</v>
      </c>
      <c r="L908">
        <v>0</v>
      </c>
      <c r="M908">
        <v>5.7277282592562567E-4</v>
      </c>
      <c r="N908">
        <v>5.6945052670932604E-2</v>
      </c>
      <c r="O908">
        <v>8.0270625458404073E-3</v>
      </c>
      <c r="P908">
        <v>1.641334722411231E-2</v>
      </c>
      <c r="Q908">
        <v>4.7691300555419185E-4</v>
      </c>
      <c r="R908">
        <v>5.7103625375918372E-4</v>
      </c>
      <c r="S908">
        <v>6.1188330593018467E-2</v>
      </c>
      <c r="T908">
        <v>1.0195139851617361</v>
      </c>
      <c r="U908">
        <v>0</v>
      </c>
      <c r="V908">
        <v>9.9868742846869196E-2</v>
      </c>
      <c r="W908">
        <v>3.6843526031482589E-2</v>
      </c>
      <c r="X908">
        <v>7.9068817912925915E-3</v>
      </c>
      <c r="Y908">
        <v>1.5541724406820379E-3</v>
      </c>
    </row>
    <row r="909" spans="1:25" x14ac:dyDescent="0.25">
      <c r="A909" s="1096"/>
      <c r="B909" s="1455">
        <v>659</v>
      </c>
      <c r="C909" s="1100">
        <v>0.98319705651723566</v>
      </c>
      <c r="D909" s="1100">
        <v>0.95631632990746285</v>
      </c>
      <c r="E909" s="1100">
        <v>0.99415025576727711</v>
      </c>
      <c r="F909" s="1100">
        <v>0.9747273059880518</v>
      </c>
      <c r="G909" s="1100">
        <v>0.99979597401810105</v>
      </c>
      <c r="H909" s="1100">
        <v>1.0357831862904359</v>
      </c>
      <c r="I909" s="1100">
        <v>0.99950949016401636</v>
      </c>
      <c r="K909">
        <v>1.3001249616615129</v>
      </c>
      <c r="L909">
        <v>0</v>
      </c>
      <c r="M909">
        <v>6.5244598110029376E-4</v>
      </c>
      <c r="N909">
        <v>5.8949719465808861E-2</v>
      </c>
      <c r="O909">
        <v>8.0354294671670119E-3</v>
      </c>
      <c r="P909">
        <v>1.5872490114067505E-2</v>
      </c>
      <c r="Q909">
        <v>4.6249998748658784E-4</v>
      </c>
      <c r="R909">
        <v>6.5058723734791302E-4</v>
      </c>
      <c r="S909">
        <v>6.4194869788870318E-2</v>
      </c>
      <c r="T909">
        <v>1.0064580186765781</v>
      </c>
      <c r="U909">
        <v>0</v>
      </c>
      <c r="V909">
        <v>9.8126408654740524E-2</v>
      </c>
      <c r="W909">
        <v>3.8861146419163752E-2</v>
      </c>
      <c r="X909">
        <v>7.3955538373464916E-3</v>
      </c>
      <c r="Y909">
        <v>1.7706839940358667E-3</v>
      </c>
    </row>
    <row r="910" spans="1:25" x14ac:dyDescent="0.25">
      <c r="A910" s="1096"/>
      <c r="B910" s="1455">
        <v>660</v>
      </c>
      <c r="C910" s="1100">
        <v>1.0085109272146247</v>
      </c>
      <c r="D910" s="1100">
        <v>1.0137183392907281</v>
      </c>
      <c r="E910" s="1100">
        <v>1.048079901391781</v>
      </c>
      <c r="F910" s="1100">
        <v>1.0291811812112901</v>
      </c>
      <c r="G910" s="1100">
        <v>0.97648501475122285</v>
      </c>
      <c r="H910" s="1100">
        <v>1.0342752318517552</v>
      </c>
      <c r="I910" s="1100">
        <v>1.0103754883328822</v>
      </c>
      <c r="K910">
        <v>1.3506857273508484</v>
      </c>
      <c r="L910">
        <v>0</v>
      </c>
      <c r="M910">
        <v>5.5463405689882249E-4</v>
      </c>
      <c r="N910">
        <v>5.8964872366760644E-2</v>
      </c>
      <c r="O910">
        <v>7.6662914443831982E-3</v>
      </c>
      <c r="P910">
        <v>1.7218796663702039E-2</v>
      </c>
      <c r="Q910">
        <v>4.6554230321972753E-4</v>
      </c>
      <c r="R910">
        <v>5.5305166435695653E-4</v>
      </c>
      <c r="S910">
        <v>6.1331250049973009E-2</v>
      </c>
      <c r="T910">
        <v>1.0610672353176862</v>
      </c>
      <c r="U910">
        <v>0</v>
      </c>
      <c r="V910">
        <v>9.6426197738283537E-2</v>
      </c>
      <c r="W910">
        <v>3.7664760554770985E-2</v>
      </c>
      <c r="X910">
        <v>8.3771389876627165E-3</v>
      </c>
      <c r="Y910">
        <v>1.5052243169474786E-3</v>
      </c>
    </row>
    <row r="911" spans="1:25" x14ac:dyDescent="0.25">
      <c r="A911" s="1096"/>
      <c r="B911" s="1455">
        <v>661</v>
      </c>
      <c r="C911" s="1100">
        <v>0.99948666914906825</v>
      </c>
      <c r="D911" s="1100">
        <v>1.0224515545320152</v>
      </c>
      <c r="E911" s="1100">
        <v>0.97777421119317554</v>
      </c>
      <c r="F911" s="1100">
        <v>0.98112012838356444</v>
      </c>
      <c r="G911" s="1100">
        <v>1.0442651600224231</v>
      </c>
      <c r="H911" s="1100">
        <v>0.97908324391765056</v>
      </c>
      <c r="I911" s="1100">
        <v>0.98085643541042389</v>
      </c>
      <c r="K911">
        <v>1.291563193441448</v>
      </c>
      <c r="L911">
        <v>0</v>
      </c>
      <c r="M911">
        <v>6.1102992049723336E-4</v>
      </c>
      <c r="N911">
        <v>5.2531361362507259E-2</v>
      </c>
      <c r="O911">
        <v>7.6918653634784635E-3</v>
      </c>
      <c r="P911">
        <v>1.5713602155801306E-2</v>
      </c>
      <c r="Q911">
        <v>4.354412258882821E-4</v>
      </c>
      <c r="R911">
        <v>6.0918835708774141E-4</v>
      </c>
      <c r="S911">
        <v>5.8096111139801343E-2</v>
      </c>
      <c r="T911">
        <v>1.0135439169432199</v>
      </c>
      <c r="U911">
        <v>0</v>
      </c>
      <c r="V911">
        <v>9.9848429458508609E-2</v>
      </c>
      <c r="W911">
        <v>3.4972504200250533E-2</v>
      </c>
      <c r="X911">
        <v>7.073793266296805E-3</v>
      </c>
      <c r="Y911">
        <v>1.6580098891048891E-3</v>
      </c>
    </row>
    <row r="912" spans="1:25" x14ac:dyDescent="0.25">
      <c r="A912" s="1096"/>
      <c r="B912" s="1455">
        <v>662</v>
      </c>
      <c r="C912" s="1100">
        <v>0.99122302227244685</v>
      </c>
      <c r="D912" s="1100">
        <v>1.0200104587999599</v>
      </c>
      <c r="E912" s="1100">
        <v>1.0258407474445013</v>
      </c>
      <c r="F912" s="1100">
        <v>0.98580545316685131</v>
      </c>
      <c r="G912" s="1100">
        <v>1.0027554431736956</v>
      </c>
      <c r="H912" s="1100">
        <v>0.99069868472195044</v>
      </c>
      <c r="I912" s="1100">
        <v>0.99746686257894768</v>
      </c>
      <c r="K912">
        <v>1.3015281937341991</v>
      </c>
      <c r="L912">
        <v>0</v>
      </c>
      <c r="M912">
        <v>5.6479754217279496E-4</v>
      </c>
      <c r="N912">
        <v>5.6146673344084595E-2</v>
      </c>
      <c r="O912">
        <v>7.7752229415046668E-3</v>
      </c>
      <c r="P912">
        <v>1.6337045026023577E-2</v>
      </c>
      <c r="Q912">
        <v>4.6192749537584516E-4</v>
      </c>
      <c r="R912">
        <v>5.631152747685896E-4</v>
      </c>
      <c r="S912">
        <v>6.0049534937941323E-2</v>
      </c>
      <c r="T912">
        <v>1.0169761952842671</v>
      </c>
      <c r="U912">
        <v>0</v>
      </c>
      <c r="V912">
        <v>9.8101139416247263E-2</v>
      </c>
      <c r="W912">
        <v>3.6328033180030084E-2</v>
      </c>
      <c r="X912">
        <v>7.821490229107558E-3</v>
      </c>
      <c r="Y912">
        <v>1.532614147019663E-3</v>
      </c>
    </row>
    <row r="913" spans="1:25" x14ac:dyDescent="0.25">
      <c r="A913" s="1096"/>
      <c r="B913" s="1455">
        <v>663</v>
      </c>
      <c r="C913" s="1100">
        <v>0.99853720136506063</v>
      </c>
      <c r="D913" s="1100">
        <v>0.99638929878479943</v>
      </c>
      <c r="E913" s="1100">
        <v>1.0058704297585663</v>
      </c>
      <c r="F913" s="1100">
        <v>1.0395451331350487</v>
      </c>
      <c r="G913" s="1100">
        <v>1.0204747885655618</v>
      </c>
      <c r="H913" s="1100">
        <v>0.98540401909010678</v>
      </c>
      <c r="I913" s="1100">
        <v>0.9695863521607746</v>
      </c>
      <c r="K913">
        <v>1.3556188365223083</v>
      </c>
      <c r="L913">
        <v>0</v>
      </c>
      <c r="M913">
        <v>5.867824562445983E-4</v>
      </c>
      <c r="N913">
        <v>5.4919788870785684E-2</v>
      </c>
      <c r="O913">
        <v>7.78601783275329E-3</v>
      </c>
      <c r="P913">
        <v>1.6854272804499703E-2</v>
      </c>
      <c r="Q913">
        <v>4.5345519236128344E-4</v>
      </c>
      <c r="R913">
        <v>5.8502531525510618E-4</v>
      </c>
      <c r="S913">
        <v>5.8500648835254437E-2</v>
      </c>
      <c r="T913">
        <v>1.0730232438400484</v>
      </c>
      <c r="U913">
        <v>0</v>
      </c>
      <c r="V913">
        <v>9.8752708181074525E-2</v>
      </c>
      <c r="W913">
        <v>3.5953197006960064E-2</v>
      </c>
      <c r="X913">
        <v>7.7850150449771715E-3</v>
      </c>
      <c r="Y913">
        <v>1.5922460545810557E-3</v>
      </c>
    </row>
    <row r="914" spans="1:25" x14ac:dyDescent="0.25">
      <c r="A914" s="1096"/>
      <c r="B914" s="1455">
        <v>664</v>
      </c>
      <c r="C914" s="1100">
        <v>0.96961832650720237</v>
      </c>
      <c r="D914" s="1100">
        <v>1.0380870096082671</v>
      </c>
      <c r="E914" s="1100">
        <v>0.99671183423962473</v>
      </c>
      <c r="F914" s="1100">
        <v>1.0098661230966426</v>
      </c>
      <c r="G914" s="1100">
        <v>0.9897806206838361</v>
      </c>
      <c r="H914" s="1100">
        <v>0.98639801214533052</v>
      </c>
      <c r="I914" s="1100">
        <v>0.96242850498771459</v>
      </c>
      <c r="K914">
        <v>1.3245636549147806</v>
      </c>
      <c r="L914">
        <v>0</v>
      </c>
      <c r="M914">
        <v>6.0646925655677615E-4</v>
      </c>
      <c r="N914">
        <v>5.5213593660498141E-2</v>
      </c>
      <c r="O914">
        <v>7.8855345008570481E-3</v>
      </c>
      <c r="P914">
        <v>1.6316560716144523E-2</v>
      </c>
      <c r="Q914">
        <v>4.5504551954888135E-4</v>
      </c>
      <c r="R914">
        <v>6.0465499281906051E-4</v>
      </c>
      <c r="S914">
        <v>5.8519908594835975E-2</v>
      </c>
      <c r="T914">
        <v>1.04266337435696</v>
      </c>
      <c r="U914">
        <v>0</v>
      </c>
      <c r="V914">
        <v>9.7997755386818278E-2</v>
      </c>
      <c r="W914">
        <v>3.6342625012184153E-2</v>
      </c>
      <c r="X914">
        <v>7.5253998646835638E-3</v>
      </c>
      <c r="Y914">
        <v>1.6456715659886692E-3</v>
      </c>
    </row>
    <row r="915" spans="1:25" x14ac:dyDescent="0.25">
      <c r="A915" s="1096"/>
      <c r="B915" s="1455">
        <v>665</v>
      </c>
      <c r="C915" s="1100">
        <v>0.98294383559283094</v>
      </c>
      <c r="D915" s="1100">
        <v>0.98417417743863689</v>
      </c>
      <c r="E915" s="1100">
        <v>1.0120981661332611</v>
      </c>
      <c r="F915" s="1100">
        <v>0.97820856255066857</v>
      </c>
      <c r="G915" s="1100">
        <v>1.0044152054342106</v>
      </c>
      <c r="H915" s="1100">
        <v>0.9985890427307248</v>
      </c>
      <c r="I915" s="1100">
        <v>1.0304124728830739</v>
      </c>
      <c r="K915">
        <v>1.3001677236004838</v>
      </c>
      <c r="L915">
        <v>0</v>
      </c>
      <c r="M915">
        <v>5.9925252936865675E-4</v>
      </c>
      <c r="N915">
        <v>5.715376483745932E-2</v>
      </c>
      <c r="O915">
        <v>7.9502247612606696E-3</v>
      </c>
      <c r="P915">
        <v>1.6129031560664545E-2</v>
      </c>
      <c r="Q915">
        <v>4.6591168741982262E-4</v>
      </c>
      <c r="R915">
        <v>5.9748174003304046E-4</v>
      </c>
      <c r="S915">
        <v>6.400837168487894E-2</v>
      </c>
      <c r="T915">
        <v>1.0095316539331536</v>
      </c>
      <c r="U915">
        <v>0</v>
      </c>
      <c r="V915">
        <v>9.8376559722287774E-2</v>
      </c>
      <c r="W915">
        <v>3.7278406508343673E-2</v>
      </c>
      <c r="X915">
        <v>7.6494213577828277E-3</v>
      </c>
      <c r="Y915">
        <v>1.6261483365672678E-3</v>
      </c>
    </row>
    <row r="916" spans="1:25" x14ac:dyDescent="0.25">
      <c r="A916" s="1096"/>
      <c r="B916" s="1455">
        <v>666</v>
      </c>
      <c r="C916" s="1100">
        <v>1.0170257608010076</v>
      </c>
      <c r="D916" s="1100">
        <v>1.0119452294493205</v>
      </c>
      <c r="E916" s="1100">
        <v>1.0217312566729742</v>
      </c>
      <c r="F916" s="1100">
        <v>0.98853344378962538</v>
      </c>
      <c r="G916" s="1100">
        <v>1.0137793662014352</v>
      </c>
      <c r="H916" s="1100">
        <v>0.9686767621878557</v>
      </c>
      <c r="I916" s="1100">
        <v>0.97576722980267072</v>
      </c>
      <c r="K916">
        <v>1.2964058898708852</v>
      </c>
      <c r="L916">
        <v>0</v>
      </c>
      <c r="M916">
        <v>5.4458302646678879E-4</v>
      </c>
      <c r="N916">
        <v>5.3466676433752351E-2</v>
      </c>
      <c r="O916">
        <v>7.6010697926141187E-3</v>
      </c>
      <c r="P916">
        <v>1.6282896446027241E-2</v>
      </c>
      <c r="Q916">
        <v>4.4974370845779293E-4</v>
      </c>
      <c r="R916">
        <v>5.4292409273460306E-4</v>
      </c>
      <c r="S916">
        <v>5.685102569733308E-2</v>
      </c>
      <c r="T916">
        <v>1.01990849181236</v>
      </c>
      <c r="U916">
        <v>0</v>
      </c>
      <c r="V916">
        <v>9.7995321001258046E-2</v>
      </c>
      <c r="W916">
        <v>3.4677046737105227E-2</v>
      </c>
      <c r="X916">
        <v>7.697616770163747E-3</v>
      </c>
      <c r="Y916">
        <v>1.4776604055445207E-3</v>
      </c>
    </row>
    <row r="917" spans="1:25" x14ac:dyDescent="0.25">
      <c r="A917" s="1096"/>
      <c r="B917" s="1455">
        <v>667</v>
      </c>
      <c r="C917" s="1100">
        <v>0.9747665095953969</v>
      </c>
      <c r="D917" s="1100">
        <v>0.99908360287946107</v>
      </c>
      <c r="E917" s="1100">
        <v>1.0035425025897762</v>
      </c>
      <c r="F917" s="1100">
        <v>0.99764973907225396</v>
      </c>
      <c r="G917" s="1100">
        <v>1.0028140518283408</v>
      </c>
      <c r="H917" s="1100">
        <v>1.0040078616245045</v>
      </c>
      <c r="I917" s="1100">
        <v>1.0242561815347677</v>
      </c>
      <c r="K917">
        <v>1.3207722879593178</v>
      </c>
      <c r="L917">
        <v>0</v>
      </c>
      <c r="M917">
        <v>6.1474231376825394E-4</v>
      </c>
      <c r="N917">
        <v>5.7136759278071277E-2</v>
      </c>
      <c r="O917">
        <v>7.9666904203180098E-3</v>
      </c>
      <c r="P917">
        <v>1.6303915049076616E-2</v>
      </c>
      <c r="Q917">
        <v>4.6289589142874013E-4</v>
      </c>
      <c r="R917">
        <v>6.129355564925003E-4</v>
      </c>
      <c r="S917">
        <v>6.3809212331235918E-2</v>
      </c>
      <c r="T917">
        <v>1.0298474289908386</v>
      </c>
      <c r="U917">
        <v>0</v>
      </c>
      <c r="V917">
        <v>9.8500973995671107E-2</v>
      </c>
      <c r="W917">
        <v>3.7456131300770773E-2</v>
      </c>
      <c r="X917">
        <v>7.6218789285612551E-3</v>
      </c>
      <c r="Y917">
        <v>1.6682085306206911E-3</v>
      </c>
    </row>
    <row r="918" spans="1:25" x14ac:dyDescent="0.25">
      <c r="A918" s="1096"/>
      <c r="B918" s="1455">
        <v>668</v>
      </c>
      <c r="C918" s="1100">
        <v>0.97465377235513417</v>
      </c>
      <c r="D918" s="1100">
        <v>0.99156945911287642</v>
      </c>
      <c r="E918" s="1100">
        <v>1.0299024931964347</v>
      </c>
      <c r="F918" s="1100">
        <v>0.9733147152249082</v>
      </c>
      <c r="G918" s="1100">
        <v>0.98759705337279546</v>
      </c>
      <c r="H918" s="1100">
        <v>0.98103012048454774</v>
      </c>
      <c r="I918" s="1100">
        <v>1.0059822037985933</v>
      </c>
      <c r="K918">
        <v>1.2925983645626464</v>
      </c>
      <c r="L918">
        <v>0</v>
      </c>
      <c r="M918">
        <v>5.7041711646396503E-4</v>
      </c>
      <c r="N918">
        <v>5.7402328648319359E-2</v>
      </c>
      <c r="O918">
        <v>7.9983872831242506E-3</v>
      </c>
      <c r="P918">
        <v>1.623037050845412E-2</v>
      </c>
      <c r="Q918">
        <v>4.7710007272996896E-4</v>
      </c>
      <c r="R918">
        <v>5.6870136639293131E-4</v>
      </c>
      <c r="S918">
        <v>6.2232092559971079E-2</v>
      </c>
      <c r="T918">
        <v>1.0039761027591443</v>
      </c>
      <c r="U918">
        <v>0</v>
      </c>
      <c r="V918">
        <v>9.7797525891904685E-2</v>
      </c>
      <c r="W918">
        <v>3.7052856874601692E-2</v>
      </c>
      <c r="X918">
        <v>7.885498067501346E-3</v>
      </c>
      <c r="Y918">
        <v>1.547817646966512E-3</v>
      </c>
    </row>
    <row r="919" spans="1:25" x14ac:dyDescent="0.25">
      <c r="A919" s="1096"/>
      <c r="B919" s="1455">
        <v>669</v>
      </c>
      <c r="C919" s="1100">
        <v>1.0397708538488908</v>
      </c>
      <c r="D919" s="1100">
        <v>1.003367596163262</v>
      </c>
      <c r="E919" s="1100">
        <v>0.96607247856675815</v>
      </c>
      <c r="F919" s="1100">
        <v>1.0210291581321227</v>
      </c>
      <c r="G919" s="1100">
        <v>1.0159704079442791</v>
      </c>
      <c r="H919" s="1100">
        <v>0.96547280976156147</v>
      </c>
      <c r="I919" s="1100">
        <v>0.98989934170123817</v>
      </c>
      <c r="K919">
        <v>1.3246312066528008</v>
      </c>
      <c r="L919">
        <v>0</v>
      </c>
      <c r="M919">
        <v>5.9784718225517936E-4</v>
      </c>
      <c r="N919">
        <v>4.9606926187582563E-2</v>
      </c>
      <c r="O919">
        <v>7.447045002848012E-3</v>
      </c>
      <c r="P919">
        <v>1.607439960447803E-2</v>
      </c>
      <c r="Q919">
        <v>4.1657500901772036E-4</v>
      </c>
      <c r="R919">
        <v>5.9601994913911283E-4</v>
      </c>
      <c r="S919">
        <v>5.652810438114176E-2</v>
      </c>
      <c r="T919">
        <v>1.0551375131442837</v>
      </c>
      <c r="U919">
        <v>0</v>
      </c>
      <c r="V919">
        <v>9.7506708662458572E-2</v>
      </c>
      <c r="W919">
        <v>3.3261264761149857E-2</v>
      </c>
      <c r="X919">
        <v>7.0323273093235196E-3</v>
      </c>
      <c r="Y919">
        <v>1.622169823633236E-3</v>
      </c>
    </row>
    <row r="920" spans="1:25" x14ac:dyDescent="0.25">
      <c r="A920" s="1096"/>
      <c r="B920" s="1455">
        <v>670</v>
      </c>
      <c r="C920" s="1100">
        <v>1.0218475160133444</v>
      </c>
      <c r="D920" s="1100">
        <v>0.99622419752081315</v>
      </c>
      <c r="E920" s="1100">
        <v>1.0037633484340309</v>
      </c>
      <c r="F920" s="1100">
        <v>1.0251127718300381</v>
      </c>
      <c r="G920" s="1100">
        <v>0.99751092506917127</v>
      </c>
      <c r="H920" s="1100">
        <v>1.0432486571358286</v>
      </c>
      <c r="I920" s="1100">
        <v>1.0021086065249361</v>
      </c>
      <c r="K920">
        <v>1.3439825552281308</v>
      </c>
      <c r="L920">
        <v>0</v>
      </c>
      <c r="M920">
        <v>6.0975752504292499E-4</v>
      </c>
      <c r="N920">
        <v>5.6717556033371093E-2</v>
      </c>
      <c r="O920">
        <v>7.6084007520369791E-3</v>
      </c>
      <c r="P920">
        <v>1.6633818032462864E-2</v>
      </c>
      <c r="Q920">
        <v>4.4217580896640867E-4</v>
      </c>
      <c r="R920">
        <v>6.0803282667396593E-4</v>
      </c>
      <c r="S920">
        <v>6.0821784768351039E-2</v>
      </c>
      <c r="T920">
        <v>1.0581900771209676</v>
      </c>
      <c r="U920">
        <v>0</v>
      </c>
      <c r="V920">
        <v>9.7073181426199792E-2</v>
      </c>
      <c r="W920">
        <v>3.7176455665792259E-2</v>
      </c>
      <c r="X920">
        <v>7.6659654021119759E-3</v>
      </c>
      <c r="Y920">
        <v>1.6548649162390909E-3</v>
      </c>
    </row>
    <row r="921" spans="1:25" x14ac:dyDescent="0.25">
      <c r="A921" s="1096"/>
      <c r="B921" s="1455">
        <v>671</v>
      </c>
      <c r="C921" s="1100">
        <v>0.98894806667135626</v>
      </c>
      <c r="D921" s="1100">
        <v>1.0197221917991641</v>
      </c>
      <c r="E921" s="1100">
        <v>0.98305923827473995</v>
      </c>
      <c r="F921" s="1100">
        <v>1.0198753782842604</v>
      </c>
      <c r="G921" s="1100">
        <v>0.95558458271604285</v>
      </c>
      <c r="H921" s="1100">
        <v>0.98659684275781645</v>
      </c>
      <c r="I921" s="1100">
        <v>0.9879411016429579</v>
      </c>
      <c r="K921">
        <v>1.3317721168211041</v>
      </c>
      <c r="L921">
        <v>0</v>
      </c>
      <c r="M921">
        <v>6.1617494111908342E-4</v>
      </c>
      <c r="N921">
        <v>5.3828796166692179E-2</v>
      </c>
      <c r="O921">
        <v>7.7834465357164524E-3</v>
      </c>
      <c r="P921">
        <v>1.6277903690652566E-2</v>
      </c>
      <c r="Q921">
        <v>4.4299841528265224E-4</v>
      </c>
      <c r="R921">
        <v>6.143320141338641E-4</v>
      </c>
      <c r="S921">
        <v>5.9456663486104677E-2</v>
      </c>
      <c r="T921">
        <v>1.0534163495843087</v>
      </c>
      <c r="U921">
        <v>0</v>
      </c>
      <c r="V921">
        <v>9.582890127041585E-2</v>
      </c>
      <c r="W921">
        <v>3.5722123573829132E-2</v>
      </c>
      <c r="X921">
        <v>7.344767797107017E-3</v>
      </c>
      <c r="Y921">
        <v>1.6720092279783455E-3</v>
      </c>
    </row>
    <row r="922" spans="1:25" x14ac:dyDescent="0.25">
      <c r="A922" s="1096"/>
      <c r="B922" s="1455">
        <v>672</v>
      </c>
      <c r="C922" s="1100">
        <v>0.98619097977538572</v>
      </c>
      <c r="D922" s="1100">
        <v>0.99096255166247404</v>
      </c>
      <c r="E922" s="1100">
        <v>0.99162674236358173</v>
      </c>
      <c r="F922" s="1100">
        <v>0.99374852551562043</v>
      </c>
      <c r="G922" s="1100">
        <v>1.0161233125037523</v>
      </c>
      <c r="H922" s="1100">
        <v>0.99056774393857849</v>
      </c>
      <c r="I922" s="1100">
        <v>1.033692105317825</v>
      </c>
      <c r="K922">
        <v>1.3137931582430959</v>
      </c>
      <c r="L922">
        <v>0</v>
      </c>
      <c r="M922">
        <v>6.1649274759834581E-4</v>
      </c>
      <c r="N922">
        <v>5.5270792057922034E-2</v>
      </c>
      <c r="O922">
        <v>7.8971745994808971E-3</v>
      </c>
      <c r="P922">
        <v>1.6109686444569369E-2</v>
      </c>
      <c r="Q922">
        <v>4.5338630646212468E-4</v>
      </c>
      <c r="R922">
        <v>6.1465626165553881E-4</v>
      </c>
      <c r="S922">
        <v>6.3486272687507547E-2</v>
      </c>
      <c r="T922">
        <v>1.0261736190624684</v>
      </c>
      <c r="U922">
        <v>0</v>
      </c>
      <c r="V922">
        <v>9.8836893294543815E-2</v>
      </c>
      <c r="W922">
        <v>3.6490901737718649E-2</v>
      </c>
      <c r="X922">
        <v>7.4033768155215294E-3</v>
      </c>
      <c r="Y922">
        <v>1.6728917228441777E-3</v>
      </c>
    </row>
    <row r="923" spans="1:25" x14ac:dyDescent="0.25">
      <c r="A923" s="1096"/>
      <c r="B923" s="1455">
        <v>673</v>
      </c>
      <c r="C923" s="1100">
        <v>0.99742663924853348</v>
      </c>
      <c r="D923" s="1100">
        <v>1.0234285843692414</v>
      </c>
      <c r="E923" s="1100">
        <v>1.006478737789138</v>
      </c>
      <c r="F923" s="1100">
        <v>1.0363904377144679</v>
      </c>
      <c r="G923" s="1100">
        <v>1.0007218888191849</v>
      </c>
      <c r="H923" s="1100">
        <v>0.96834875600853421</v>
      </c>
      <c r="I923" s="1100">
        <v>0.98174812248914567</v>
      </c>
      <c r="K923">
        <v>1.3482501090786769</v>
      </c>
      <c r="L923">
        <v>0</v>
      </c>
      <c r="M923">
        <v>5.7039795292533201E-4</v>
      </c>
      <c r="N923">
        <v>5.3481615699875501E-2</v>
      </c>
      <c r="O923">
        <v>7.7117980223492134E-3</v>
      </c>
      <c r="P923">
        <v>1.6796683938885972E-2</v>
      </c>
      <c r="Q923">
        <v>4.4940642760195727E-4</v>
      </c>
      <c r="R923">
        <v>5.686597920198037E-4</v>
      </c>
      <c r="S923">
        <v>5.7946385283639788E-2</v>
      </c>
      <c r="T923">
        <v>1.0697483034370241</v>
      </c>
      <c r="U923">
        <v>0</v>
      </c>
      <c r="V923">
        <v>9.7825405641416285E-2</v>
      </c>
      <c r="W923">
        <v>3.499910354084388E-2</v>
      </c>
      <c r="X923">
        <v>7.745440752716228E-3</v>
      </c>
      <c r="Y923">
        <v>1.5477044952278468E-3</v>
      </c>
    </row>
    <row r="924" spans="1:25" x14ac:dyDescent="0.25">
      <c r="A924" s="1096"/>
      <c r="B924" s="1455">
        <v>674</v>
      </c>
      <c r="C924" s="1100">
        <v>0.98983439594572287</v>
      </c>
      <c r="D924" s="1100">
        <v>0.98713435911359115</v>
      </c>
      <c r="E924" s="1100">
        <v>1.0233395041802178</v>
      </c>
      <c r="F924" s="1100">
        <v>0.99695609039255539</v>
      </c>
      <c r="G924" s="1100">
        <v>1.011790134315804</v>
      </c>
      <c r="H924" s="1100">
        <v>0.98764496569327564</v>
      </c>
      <c r="I924" s="1100">
        <v>0.98222115842407187</v>
      </c>
      <c r="K924">
        <v>1.3149232631432901</v>
      </c>
      <c r="L924">
        <v>0</v>
      </c>
      <c r="M924">
        <v>5.7426716073271408E-4</v>
      </c>
      <c r="N924">
        <v>5.6658522428286395E-2</v>
      </c>
      <c r="O924">
        <v>7.8882120546804515E-3</v>
      </c>
      <c r="P924">
        <v>1.6476057191447863E-2</v>
      </c>
      <c r="Q924">
        <v>4.6747926044169602E-4</v>
      </c>
      <c r="R924">
        <v>5.7255139912386268E-4</v>
      </c>
      <c r="S924">
        <v>6.0169947288125414E-2</v>
      </c>
      <c r="T924">
        <v>1.0285518136913168</v>
      </c>
      <c r="U924">
        <v>0</v>
      </c>
      <c r="V924">
        <v>9.8570537000742933E-2</v>
      </c>
      <c r="W924">
        <v>3.6712701337461649E-2</v>
      </c>
      <c r="X924">
        <v>7.8714124854975982E-3</v>
      </c>
      <c r="Y924">
        <v>1.5582961668971587E-3</v>
      </c>
    </row>
    <row r="925" spans="1:25" x14ac:dyDescent="0.25">
      <c r="A925" s="1096"/>
      <c r="B925" s="1455">
        <v>675</v>
      </c>
      <c r="C925" s="1100">
        <v>1.0275747960107591</v>
      </c>
      <c r="D925" s="1100">
        <v>0.99508016874490701</v>
      </c>
      <c r="E925" s="1100">
        <v>0.99256102544164881</v>
      </c>
      <c r="F925" s="1100">
        <v>1.0032091721024994</v>
      </c>
      <c r="G925" s="1100">
        <v>1.0011671817436192</v>
      </c>
      <c r="H925" s="1100">
        <v>1.0264080629894659</v>
      </c>
      <c r="I925" s="1100">
        <v>1.0028111237305282</v>
      </c>
      <c r="K925">
        <v>1.3174510083769366</v>
      </c>
      <c r="L925">
        <v>0</v>
      </c>
      <c r="M925">
        <v>6.1087236123279242E-4</v>
      </c>
      <c r="N925">
        <v>5.4927531549080637E-2</v>
      </c>
      <c r="O925">
        <v>7.5667922506983381E-3</v>
      </c>
      <c r="P925">
        <v>1.6182931134661349E-2</v>
      </c>
      <c r="Q925">
        <v>4.3482861427007101E-4</v>
      </c>
      <c r="R925">
        <v>6.0911616015484201E-4</v>
      </c>
      <c r="S925">
        <v>6.0048602158864241E-2</v>
      </c>
      <c r="T925">
        <v>1.0359148384516721</v>
      </c>
      <c r="U925">
        <v>0</v>
      </c>
      <c r="V925">
        <v>9.7102504315855515E-2</v>
      </c>
      <c r="W925">
        <v>3.62440165701425E-2</v>
      </c>
      <c r="X925">
        <v>7.372906139916733E-3</v>
      </c>
      <c r="Y925">
        <v>1.6578133928532499E-3</v>
      </c>
    </row>
    <row r="926" spans="1:25" x14ac:dyDescent="0.25">
      <c r="A926" s="1096"/>
      <c r="B926" s="1455">
        <v>676</v>
      </c>
      <c r="C926" s="1100">
        <v>1.0012391580946636</v>
      </c>
      <c r="D926" s="1100">
        <v>1.0025291593013712</v>
      </c>
      <c r="E926" s="1100">
        <v>0.9946144556290295</v>
      </c>
      <c r="F926" s="1100">
        <v>0.98158735087143512</v>
      </c>
      <c r="G926" s="1100">
        <v>1.0408819799918581</v>
      </c>
      <c r="H926" s="1100">
        <v>0.99006786590912532</v>
      </c>
      <c r="I926" s="1100">
        <v>0.98408852719460749</v>
      </c>
      <c r="K926">
        <v>1.2955259962407717</v>
      </c>
      <c r="L926">
        <v>0</v>
      </c>
      <c r="M926">
        <v>6.0038166671195201E-4</v>
      </c>
      <c r="N926">
        <v>5.4314606225991359E-2</v>
      </c>
      <c r="O926">
        <v>7.7431920547678295E-3</v>
      </c>
      <c r="P926">
        <v>1.5926318835423822E-2</v>
      </c>
      <c r="Q926">
        <v>4.4588815788839948E-4</v>
      </c>
      <c r="R926">
        <v>5.9859227148155653E-4</v>
      </c>
      <c r="S926">
        <v>5.9149364695478608E-2</v>
      </c>
      <c r="T926">
        <v>1.0135277426393956</v>
      </c>
      <c r="U926">
        <v>0</v>
      </c>
      <c r="V926">
        <v>9.966029572190159E-2</v>
      </c>
      <c r="W926">
        <v>3.5795641375194552E-2</v>
      </c>
      <c r="X926">
        <v>7.3355650928753607E-3</v>
      </c>
      <c r="Y926">
        <v>1.6291708370835358E-3</v>
      </c>
    </row>
    <row r="927" spans="1:25" x14ac:dyDescent="0.25">
      <c r="A927" s="1096"/>
      <c r="B927" s="1455">
        <v>677</v>
      </c>
      <c r="C927" s="1100">
        <v>0.99903605869270118</v>
      </c>
      <c r="D927" s="1100">
        <v>0.97913912293314309</v>
      </c>
      <c r="E927" s="1100">
        <v>1.0042201574159593</v>
      </c>
      <c r="F927" s="1100">
        <v>0.99000393793707675</v>
      </c>
      <c r="G927" s="1100">
        <v>0.96903848375689139</v>
      </c>
      <c r="H927" s="1100">
        <v>0.98405626115891287</v>
      </c>
      <c r="I927" s="1100">
        <v>1.0230174252816115</v>
      </c>
      <c r="K927">
        <v>1.3052316700473969</v>
      </c>
      <c r="L927">
        <v>0</v>
      </c>
      <c r="M927">
        <v>5.9181707458993494E-4</v>
      </c>
      <c r="N927">
        <v>5.5115395357780254E-2</v>
      </c>
      <c r="O927">
        <v>7.836274847304061E-3</v>
      </c>
      <c r="P927">
        <v>1.615146410314252E-2</v>
      </c>
      <c r="Q927">
        <v>4.5562782290397462E-4</v>
      </c>
      <c r="R927">
        <v>5.9004243003736448E-4</v>
      </c>
      <c r="S927">
        <v>6.223154706151595E-2</v>
      </c>
      <c r="T927">
        <v>1.0219349794927211</v>
      </c>
      <c r="U927">
        <v>0</v>
      </c>
      <c r="V927">
        <v>9.6250059767607213E-2</v>
      </c>
      <c r="W927">
        <v>3.6116516882617522E-2</v>
      </c>
      <c r="X927">
        <v>7.5356783692293334E-3</v>
      </c>
      <c r="Y927">
        <v>1.6059009871269197E-3</v>
      </c>
    </row>
    <row r="928" spans="1:25" x14ac:dyDescent="0.25">
      <c r="A928" s="1096"/>
      <c r="B928" s="1455">
        <v>678</v>
      </c>
      <c r="C928" s="1100">
        <v>0.98114501997128289</v>
      </c>
      <c r="D928" s="1100">
        <v>0.98386498148354051</v>
      </c>
      <c r="E928" s="1100">
        <v>0.98144030966899098</v>
      </c>
      <c r="F928" s="1100">
        <v>0.98609935464109699</v>
      </c>
      <c r="G928" s="1100">
        <v>1.0401898802821705</v>
      </c>
      <c r="H928" s="1100">
        <v>0.95581159994750264</v>
      </c>
      <c r="I928" s="1100">
        <v>0.98369897543881923</v>
      </c>
      <c r="K928">
        <v>1.3003090448646248</v>
      </c>
      <c r="L928">
        <v>0</v>
      </c>
      <c r="M928">
        <v>6.1242061496081569E-4</v>
      </c>
      <c r="N928">
        <v>5.3234295040522482E-2</v>
      </c>
      <c r="O928">
        <v>7.9580853174381714E-3</v>
      </c>
      <c r="P928">
        <v>1.5852805939728154E-2</v>
      </c>
      <c r="Q928">
        <v>4.5219430618993609E-4</v>
      </c>
      <c r="R928">
        <v>6.1052992062693673E-4</v>
      </c>
      <c r="S928">
        <v>5.9880907387258327E-2</v>
      </c>
      <c r="T928">
        <v>1.0185778871906577</v>
      </c>
      <c r="U928">
        <v>0</v>
      </c>
      <c r="V928">
        <v>0.100118806498897</v>
      </c>
      <c r="W928">
        <v>3.5362087585474947E-2</v>
      </c>
      <c r="X928">
        <v>7.2122051099805769E-3</v>
      </c>
      <c r="Y928">
        <v>1.6616611828122773E-3</v>
      </c>
    </row>
    <row r="929" spans="1:25" x14ac:dyDescent="0.25">
      <c r="A929" s="1096"/>
      <c r="B929" s="1455">
        <v>679</v>
      </c>
      <c r="C929" s="1100">
        <v>0.97540317402460486</v>
      </c>
      <c r="D929" s="1100">
        <v>0.97203960836464232</v>
      </c>
      <c r="E929" s="1100">
        <v>1.0045559026074458</v>
      </c>
      <c r="F929" s="1100">
        <v>0.99977696378296965</v>
      </c>
      <c r="G929" s="1100">
        <v>0.98953899631589681</v>
      </c>
      <c r="H929" s="1100">
        <v>0.96816703188261111</v>
      </c>
      <c r="I929" s="1100">
        <v>1.0126656935226805</v>
      </c>
      <c r="K929">
        <v>1.3190143273474277</v>
      </c>
      <c r="L929">
        <v>0</v>
      </c>
      <c r="M929">
        <v>5.9769051398546075E-4</v>
      </c>
      <c r="N929">
        <v>5.5716105252748602E-2</v>
      </c>
      <c r="O929">
        <v>8.0496213124839362E-3</v>
      </c>
      <c r="P929">
        <v>1.6323466799885004E-2</v>
      </c>
      <c r="Q929">
        <v>4.6819011325879454E-4</v>
      </c>
      <c r="R929">
        <v>5.9586884320805963E-4</v>
      </c>
      <c r="S929">
        <v>6.2832806095978314E-2</v>
      </c>
      <c r="T929">
        <v>1.0320132717344261</v>
      </c>
      <c r="U929">
        <v>0</v>
      </c>
      <c r="V929">
        <v>9.7843296740768193E-2</v>
      </c>
      <c r="W929">
        <v>3.6502895876519725E-2</v>
      </c>
      <c r="X929">
        <v>7.6447365290362437E-3</v>
      </c>
      <c r="Y929">
        <v>1.6217585631009663E-3</v>
      </c>
    </row>
    <row r="930" spans="1:25" x14ac:dyDescent="0.25">
      <c r="A930" s="1096"/>
      <c r="B930" s="1455">
        <v>680</v>
      </c>
      <c r="C930" s="1100">
        <v>0.99787126979249585</v>
      </c>
      <c r="D930" s="1100">
        <v>0.99620059177671816</v>
      </c>
      <c r="E930" s="1100">
        <v>0.99509346393912912</v>
      </c>
      <c r="F930" s="1100">
        <v>0.99066747790035925</v>
      </c>
      <c r="G930" s="1100">
        <v>1.0013826390861242</v>
      </c>
      <c r="H930" s="1100">
        <v>1.0058013786722997</v>
      </c>
      <c r="I930" s="1100">
        <v>1.0038759809218134</v>
      </c>
      <c r="K930">
        <v>1.3074417326544951</v>
      </c>
      <c r="L930">
        <v>0</v>
      </c>
      <c r="M930">
        <v>6.1292439175033415E-4</v>
      </c>
      <c r="N930">
        <v>5.5532237043725292E-2</v>
      </c>
      <c r="O930">
        <v>7.7891488045653519E-3</v>
      </c>
      <c r="P930">
        <v>1.6062746073378965E-2</v>
      </c>
      <c r="Q930">
        <v>4.487511894631271E-4</v>
      </c>
      <c r="R930">
        <v>6.1112618966688162E-4</v>
      </c>
      <c r="S930">
        <v>6.1233084593328581E-2</v>
      </c>
      <c r="T930">
        <v>1.0228891352548559</v>
      </c>
      <c r="U930">
        <v>0</v>
      </c>
      <c r="V930">
        <v>9.7833576319308987E-2</v>
      </c>
      <c r="W930">
        <v>3.6587651710273859E-2</v>
      </c>
      <c r="X930">
        <v>7.4039158370977475E-3</v>
      </c>
      <c r="Y930">
        <v>1.6632840305789718E-3</v>
      </c>
    </row>
    <row r="931" spans="1:25" x14ac:dyDescent="0.25">
      <c r="A931" s="1096"/>
      <c r="B931" s="1455">
        <v>681</v>
      </c>
      <c r="C931" s="1100">
        <v>1.0107660335934672</v>
      </c>
      <c r="D931" s="1100">
        <v>1.0055280962339181</v>
      </c>
      <c r="E931" s="1100">
        <v>0.99819244646874772</v>
      </c>
      <c r="F931" s="1100">
        <v>1.0103126922220733</v>
      </c>
      <c r="G931" s="1100">
        <v>0.9760448163336265</v>
      </c>
      <c r="H931" s="1100">
        <v>1.0238173134877926</v>
      </c>
      <c r="I931" s="1100">
        <v>1.0014436498474959</v>
      </c>
      <c r="K931">
        <v>1.3259772081445351</v>
      </c>
      <c r="L931">
        <v>0</v>
      </c>
      <c r="M931">
        <v>6.09721866406413E-4</v>
      </c>
      <c r="N931">
        <v>5.5764741027737201E-2</v>
      </c>
      <c r="O931">
        <v>7.661917304373397E-3</v>
      </c>
      <c r="P931">
        <v>1.6344787100786733E-2</v>
      </c>
      <c r="Q931">
        <v>4.4280083501927299E-4</v>
      </c>
      <c r="R931">
        <v>6.079645372313794E-4</v>
      </c>
      <c r="S931">
        <v>6.0551819531662429E-2</v>
      </c>
      <c r="T931">
        <v>1.0430798079784127</v>
      </c>
      <c r="U931">
        <v>0</v>
      </c>
      <c r="V931">
        <v>9.6294452792032317E-2</v>
      </c>
      <c r="W931">
        <v>3.6673049213484146E-2</v>
      </c>
      <c r="X931">
        <v>7.5109106353129619E-3</v>
      </c>
      <c r="Y931">
        <v>1.6546790548879792E-3</v>
      </c>
    </row>
    <row r="932" spans="1:25" x14ac:dyDescent="0.25">
      <c r="A932" s="1096"/>
      <c r="B932" s="1455">
        <v>682</v>
      </c>
      <c r="C932" s="1100">
        <v>1.0179959221688513</v>
      </c>
      <c r="D932" s="1100">
        <v>0.968606182307717</v>
      </c>
      <c r="E932" s="1100">
        <v>0.98706485482103368</v>
      </c>
      <c r="F932" s="1100">
        <v>0.95152503173304359</v>
      </c>
      <c r="G932" s="1100">
        <v>0.98749327515660346</v>
      </c>
      <c r="H932" s="1100">
        <v>0.98253672508491463</v>
      </c>
      <c r="I932" s="1100">
        <v>1.000808061415583</v>
      </c>
      <c r="K932">
        <v>1.2603399298314455</v>
      </c>
      <c r="L932">
        <v>0</v>
      </c>
      <c r="M932">
        <v>6.0349593823080729E-4</v>
      </c>
      <c r="N932">
        <v>5.3363110196449438E-2</v>
      </c>
      <c r="O932">
        <v>7.7194819945167973E-3</v>
      </c>
      <c r="P932">
        <v>1.5391190930242838E-2</v>
      </c>
      <c r="Q932">
        <v>4.411452003001874E-4</v>
      </c>
      <c r="R932">
        <v>6.0168347427956819E-4</v>
      </c>
      <c r="S932">
        <v>6.003264649132975E-2</v>
      </c>
      <c r="T932">
        <v>0.98270299486371149</v>
      </c>
      <c r="U932">
        <v>0</v>
      </c>
      <c r="V932">
        <v>9.6661899440683513E-2</v>
      </c>
      <c r="W932">
        <v>3.5327875174706064E-2</v>
      </c>
      <c r="X932">
        <v>7.0638139313707925E-3</v>
      </c>
      <c r="Y932">
        <v>1.6375840720849943E-3</v>
      </c>
    </row>
    <row r="933" spans="1:25" x14ac:dyDescent="0.25">
      <c r="A933" s="1096"/>
      <c r="B933" s="1455">
        <v>683</v>
      </c>
      <c r="C933" s="1100">
        <v>1.0079829169831065</v>
      </c>
      <c r="D933" s="1100">
        <v>0.98678186741319618</v>
      </c>
      <c r="E933" s="1100">
        <v>1.0178863982920703</v>
      </c>
      <c r="F933" s="1100">
        <v>1.018783678001373</v>
      </c>
      <c r="G933" s="1100">
        <v>1.0052794981558069</v>
      </c>
      <c r="H933" s="1100">
        <v>1.0150433841358346</v>
      </c>
      <c r="I933" s="1100">
        <v>1.0376742668854217</v>
      </c>
      <c r="K933">
        <v>1.3406535280436549</v>
      </c>
      <c r="L933">
        <v>0</v>
      </c>
      <c r="M933">
        <v>5.8626927845783269E-4</v>
      </c>
      <c r="N933">
        <v>5.6903547043449902E-2</v>
      </c>
      <c r="O933">
        <v>7.7459538622739752E-3</v>
      </c>
      <c r="P933">
        <v>1.6756387198846118E-2</v>
      </c>
      <c r="Q933">
        <v>4.5656759567155441E-4</v>
      </c>
      <c r="R933">
        <v>5.8456493801181892E-4</v>
      </c>
      <c r="S933">
        <v>6.3295029370902006E-2</v>
      </c>
      <c r="T933">
        <v>1.0512331248686246</v>
      </c>
      <c r="U933">
        <v>0</v>
      </c>
      <c r="V933">
        <v>9.7798433094389209E-2</v>
      </c>
      <c r="W933">
        <v>3.698923277200198E-2</v>
      </c>
      <c r="X933">
        <v>7.8859635184545702E-3</v>
      </c>
      <c r="Y933">
        <v>1.5909930594881453E-3</v>
      </c>
    </row>
    <row r="934" spans="1:25" x14ac:dyDescent="0.25">
      <c r="A934" s="1096"/>
      <c r="B934" s="1455">
        <v>684</v>
      </c>
      <c r="C934" s="1100">
        <v>0.99454686858530583</v>
      </c>
      <c r="D934" s="1100">
        <v>1.019175389076596</v>
      </c>
      <c r="E934" s="1100">
        <v>0.97410796093224272</v>
      </c>
      <c r="F934" s="1100">
        <v>0.97831590161144444</v>
      </c>
      <c r="G934" s="1100">
        <v>1.0013928814923312</v>
      </c>
      <c r="H934" s="1100">
        <v>1.0124377487853711</v>
      </c>
      <c r="I934" s="1100">
        <v>1.029075689669442</v>
      </c>
      <c r="K934">
        <v>1.2944829512683793</v>
      </c>
      <c r="L934">
        <v>0</v>
      </c>
      <c r="M934">
        <v>6.4063508493042572E-4</v>
      </c>
      <c r="N934">
        <v>5.4474236958842924E-2</v>
      </c>
      <c r="O934">
        <v>7.7391052451690019E-3</v>
      </c>
      <c r="P934">
        <v>1.5663927446876669E-2</v>
      </c>
      <c r="Q934">
        <v>4.3648228257297156E-4</v>
      </c>
      <c r="R934">
        <v>6.3876790483792577E-4</v>
      </c>
      <c r="S934">
        <v>6.2402395516376268E-2</v>
      </c>
      <c r="T934">
        <v>1.0107563570229043</v>
      </c>
      <c r="U934">
        <v>0</v>
      </c>
      <c r="V934">
        <v>9.7893756884365246E-2</v>
      </c>
      <c r="W934">
        <v>3.634659716695704E-2</v>
      </c>
      <c r="X934">
        <v>7.0334442572213742E-3</v>
      </c>
      <c r="Y934">
        <v>1.7385156671855958E-3</v>
      </c>
    </row>
    <row r="935" spans="1:25" x14ac:dyDescent="0.25">
      <c r="A935" s="1096"/>
      <c r="B935" s="1455">
        <v>685</v>
      </c>
      <c r="C935" s="1100">
        <v>1.0008485445541611</v>
      </c>
      <c r="D935" s="1100">
        <v>1.0084632322291831</v>
      </c>
      <c r="E935" s="1100">
        <v>0.97766283799809217</v>
      </c>
      <c r="F935" s="1100">
        <v>0.96472283612776466</v>
      </c>
      <c r="G935" s="1100">
        <v>1.0277459486588563</v>
      </c>
      <c r="H935" s="1100">
        <v>0.99182013724142648</v>
      </c>
      <c r="I935" s="1100">
        <v>0.99512638193441827</v>
      </c>
      <c r="K935">
        <v>1.2766614126236715</v>
      </c>
      <c r="L935">
        <v>0</v>
      </c>
      <c r="M935">
        <v>6.216951404337032E-4</v>
      </c>
      <c r="N935">
        <v>5.3432333216278868E-2</v>
      </c>
      <c r="O935">
        <v>7.7238149623594108E-3</v>
      </c>
      <c r="P935">
        <v>1.5495266482856013E-2</v>
      </c>
      <c r="Q935">
        <v>4.3720035576895E-4</v>
      </c>
      <c r="R935">
        <v>6.198454954910701E-4</v>
      </c>
      <c r="S935">
        <v>5.9683593541759297E-2</v>
      </c>
      <c r="T935">
        <v>0.99660800112845493</v>
      </c>
      <c r="U935">
        <v>0</v>
      </c>
      <c r="V935">
        <v>9.9015545954270034E-2</v>
      </c>
      <c r="W935">
        <v>3.5574718571504141E-2</v>
      </c>
      <c r="X935">
        <v>7.0057729486473538E-3</v>
      </c>
      <c r="Y935">
        <v>1.6870151067140194E-3</v>
      </c>
    </row>
    <row r="936" spans="1:25" x14ac:dyDescent="0.25">
      <c r="A936" s="1096"/>
      <c r="B936" s="1455">
        <v>686</v>
      </c>
      <c r="C936" s="1100">
        <v>0.99518962175841919</v>
      </c>
      <c r="D936" s="1100">
        <v>0.9891105937400686</v>
      </c>
      <c r="E936" s="1100">
        <v>0.95976869541008969</v>
      </c>
      <c r="F936" s="1100">
        <v>1.0106303216235748</v>
      </c>
      <c r="G936" s="1100">
        <v>1.0039314599025382</v>
      </c>
      <c r="H936" s="1100">
        <v>1.0087646352837776</v>
      </c>
      <c r="I936" s="1100">
        <v>1.0119967925008169</v>
      </c>
      <c r="K936">
        <v>1.3283378405532211</v>
      </c>
      <c r="L936">
        <v>0</v>
      </c>
      <c r="M936">
        <v>6.6497181865324652E-4</v>
      </c>
      <c r="N936">
        <v>5.4140061190682737E-2</v>
      </c>
      <c r="O936">
        <v>7.8237634660700342E-3</v>
      </c>
      <c r="P936">
        <v>1.5938106876186377E-2</v>
      </c>
      <c r="Q936">
        <v>4.3482621903488374E-4</v>
      </c>
      <c r="R936">
        <v>6.6302665023309029E-4</v>
      </c>
      <c r="S936">
        <v>6.2189331182544341E-2</v>
      </c>
      <c r="T936">
        <v>1.0445879973960235</v>
      </c>
      <c r="U936">
        <v>0</v>
      </c>
      <c r="V936">
        <v>9.7984629581126151E-2</v>
      </c>
      <c r="W936">
        <v>3.6441046600903255E-2</v>
      </c>
      <c r="X936">
        <v>6.9954832338098745E-3</v>
      </c>
      <c r="Y936">
        <v>1.8045399752579638E-3</v>
      </c>
    </row>
    <row r="937" spans="1:25" x14ac:dyDescent="0.25">
      <c r="A937" s="1096"/>
      <c r="B937" s="1455">
        <v>687</v>
      </c>
      <c r="C937" s="1100">
        <v>0.99895078740426257</v>
      </c>
      <c r="D937" s="1100">
        <v>1.0314207631840713</v>
      </c>
      <c r="E937" s="1100">
        <v>0.97623101849712779</v>
      </c>
      <c r="F937" s="1100">
        <v>0.98816012723408997</v>
      </c>
      <c r="G937" s="1100">
        <v>0.98935604076028572</v>
      </c>
      <c r="H937" s="1100">
        <v>0.97816445690751541</v>
      </c>
      <c r="I937" s="1100">
        <v>1.0107893519529574</v>
      </c>
      <c r="K937">
        <v>1.2973357785659521</v>
      </c>
      <c r="L937">
        <v>0</v>
      </c>
      <c r="M937">
        <v>6.1059826030711892E-4</v>
      </c>
      <c r="N937">
        <v>5.2249514986328641E-2</v>
      </c>
      <c r="O937">
        <v>7.668778642067154E-3</v>
      </c>
      <c r="P937">
        <v>1.5777791709451507E-2</v>
      </c>
      <c r="Q937">
        <v>4.3345273214136671E-4</v>
      </c>
      <c r="R937">
        <v>6.0875626931125603E-4</v>
      </c>
      <c r="S937">
        <v>5.9591349577843747E-2</v>
      </c>
      <c r="T937">
        <v>1.0208630095929287</v>
      </c>
      <c r="U937">
        <v>0</v>
      </c>
      <c r="V937">
        <v>9.7204079643685104E-2</v>
      </c>
      <c r="W937">
        <v>3.4817371706112002E-2</v>
      </c>
      <c r="X937">
        <v>7.0754380777726606E-3</v>
      </c>
      <c r="Y937">
        <v>1.6568338886149934E-3</v>
      </c>
    </row>
    <row r="938" spans="1:25" x14ac:dyDescent="0.25">
      <c r="A938" s="1096"/>
      <c r="B938" s="1455">
        <v>688</v>
      </c>
      <c r="C938" s="1100">
        <v>1.0331419221730005</v>
      </c>
      <c r="D938" s="1100">
        <v>0.97054218908192669</v>
      </c>
      <c r="E938" s="1100">
        <v>1.0029060498831177</v>
      </c>
      <c r="F938" s="1100">
        <v>1.0438580779100786</v>
      </c>
      <c r="G938" s="1100">
        <v>1.0146163734710558</v>
      </c>
      <c r="H938" s="1100">
        <v>1.0123715239939799</v>
      </c>
      <c r="I938" s="1100">
        <v>0.96965647048311809</v>
      </c>
      <c r="K938">
        <v>1.3585648550728606</v>
      </c>
      <c r="L938">
        <v>0</v>
      </c>
      <c r="M938">
        <v>5.9244104034180366E-4</v>
      </c>
      <c r="N938">
        <v>5.4959569035370789E-2</v>
      </c>
      <c r="O938">
        <v>7.6040467148886107E-3</v>
      </c>
      <c r="P938">
        <v>1.6858923854913149E-2</v>
      </c>
      <c r="Q938">
        <v>4.4154280969886276E-4</v>
      </c>
      <c r="R938">
        <v>5.9071421253487869E-4</v>
      </c>
      <c r="S938">
        <v>5.8129739759588725E-2</v>
      </c>
      <c r="T938">
        <v>1.077566785677075</v>
      </c>
      <c r="U938">
        <v>0</v>
      </c>
      <c r="V938">
        <v>9.763460678351342E-2</v>
      </c>
      <c r="W938">
        <v>3.6042465994142736E-2</v>
      </c>
      <c r="X938">
        <v>7.7211719138454357E-3</v>
      </c>
      <c r="Y938">
        <v>1.6077293576321121E-3</v>
      </c>
    </row>
    <row r="939" spans="1:25" x14ac:dyDescent="0.25">
      <c r="A939" s="1096"/>
      <c r="B939" s="1455">
        <v>689</v>
      </c>
      <c r="C939" s="1100">
        <v>1.0154880017703454</v>
      </c>
      <c r="D939" s="1100">
        <v>0.9946960173765802</v>
      </c>
      <c r="E939" s="1100">
        <v>1.0010340870822605</v>
      </c>
      <c r="F939" s="1100">
        <v>1.0033876323643487</v>
      </c>
      <c r="G939" s="1100">
        <v>0.98187320423263547</v>
      </c>
      <c r="H939" s="1100">
        <v>1.0069937469292742</v>
      </c>
      <c r="I939" s="1100">
        <v>0.98534343315604445</v>
      </c>
      <c r="K939">
        <v>1.3160184056755266</v>
      </c>
      <c r="L939">
        <v>0</v>
      </c>
      <c r="M939">
        <v>5.9598274157869223E-4</v>
      </c>
      <c r="N939">
        <v>5.4975507156914377E-2</v>
      </c>
      <c r="O939">
        <v>7.6600898324362112E-3</v>
      </c>
      <c r="P939">
        <v>1.6263916574909647E-2</v>
      </c>
      <c r="Q939">
        <v>4.4396179634606362E-4</v>
      </c>
      <c r="R939">
        <v>5.9423631340746583E-4</v>
      </c>
      <c r="S939">
        <v>5.9148935659653956E-2</v>
      </c>
      <c r="T939">
        <v>1.035845249006671</v>
      </c>
      <c r="U939">
        <v>0</v>
      </c>
      <c r="V939">
        <v>9.646553681281958E-2</v>
      </c>
      <c r="W939">
        <v>3.6092990332851071E-2</v>
      </c>
      <c r="X939">
        <v>7.5066495759492794E-3</v>
      </c>
      <c r="Y939">
        <v>1.6173153551470535E-3</v>
      </c>
    </row>
    <row r="940" spans="1:25" x14ac:dyDescent="0.25">
      <c r="A940" s="1096"/>
      <c r="B940" s="1455">
        <v>690</v>
      </c>
      <c r="C940" s="1100">
        <v>0.98357815191308473</v>
      </c>
      <c r="D940" s="1100">
        <v>1.0215587665828039</v>
      </c>
      <c r="E940" s="1100">
        <v>0.96559282494688603</v>
      </c>
      <c r="F940" s="1100">
        <v>0.98689072513607934</v>
      </c>
      <c r="G940" s="1100">
        <v>1.0227770445907081</v>
      </c>
      <c r="H940" s="1100">
        <v>0.97870520612261069</v>
      </c>
      <c r="I940" s="1100">
        <v>1.0389171510453339</v>
      </c>
      <c r="K940">
        <v>1.3023978068437509</v>
      </c>
      <c r="L940">
        <v>0</v>
      </c>
      <c r="M940">
        <v>6.3670645017511822E-4</v>
      </c>
      <c r="N940">
        <v>5.2756800058770703E-2</v>
      </c>
      <c r="O940">
        <v>7.8160057969666324E-3</v>
      </c>
      <c r="P940">
        <v>1.5702219518193897E-2</v>
      </c>
      <c r="Q940">
        <v>4.3699925976800413E-4</v>
      </c>
      <c r="R940">
        <v>6.3478675987991737E-4</v>
      </c>
      <c r="S940">
        <v>6.2535351445539289E-2</v>
      </c>
      <c r="T940">
        <v>1.0198732305300231</v>
      </c>
      <c r="U940">
        <v>0</v>
      </c>
      <c r="V940">
        <v>9.9196354954635996E-2</v>
      </c>
      <c r="W940">
        <v>3.5383606198056097E-2</v>
      </c>
      <c r="X940">
        <v>6.9714784690980448E-3</v>
      </c>
      <c r="Y940">
        <v>1.7276803029939796E-3</v>
      </c>
    </row>
    <row r="941" spans="1:25" x14ac:dyDescent="0.25">
      <c r="A941" s="1096"/>
      <c r="B941" s="1455">
        <v>691</v>
      </c>
      <c r="C941" s="1100">
        <v>1.0153717566954994</v>
      </c>
      <c r="D941" s="1100">
        <v>1.0251405209186837</v>
      </c>
      <c r="E941" s="1100">
        <v>0.99257125894582565</v>
      </c>
      <c r="F941" s="1100">
        <v>0.99776876034146755</v>
      </c>
      <c r="G941" s="1100">
        <v>1.0405540639275057</v>
      </c>
      <c r="H941" s="1100">
        <v>1.0024188294430343</v>
      </c>
      <c r="I941" s="1100">
        <v>1.0088396735321519</v>
      </c>
      <c r="K941">
        <v>1.3111788521815813</v>
      </c>
      <c r="L941">
        <v>0</v>
      </c>
      <c r="M941">
        <v>5.9660743520348922E-4</v>
      </c>
      <c r="N941">
        <v>5.364283665931012E-2</v>
      </c>
      <c r="O941">
        <v>7.5671123778716385E-3</v>
      </c>
      <c r="P941">
        <v>1.6128530416875446E-2</v>
      </c>
      <c r="Q941">
        <v>4.3485150204040967E-4</v>
      </c>
      <c r="R941">
        <v>5.9485119763163987E-4</v>
      </c>
      <c r="S941">
        <v>5.94506992171644E-2</v>
      </c>
      <c r="T941">
        <v>1.030296757401713</v>
      </c>
      <c r="U941">
        <v>0</v>
      </c>
      <c r="V941">
        <v>9.9297657246982973E-2</v>
      </c>
      <c r="W941">
        <v>3.5396092105772541E-2</v>
      </c>
      <c r="X941">
        <v>7.3470826241119995E-3</v>
      </c>
      <c r="Y941">
        <v>1.6189888673087255E-3</v>
      </c>
    </row>
    <row r="942" spans="1:25" x14ac:dyDescent="0.25">
      <c r="A942" s="1096"/>
      <c r="B942" s="1455">
        <v>692</v>
      </c>
      <c r="C942" s="1100">
        <v>0.96146276251411722</v>
      </c>
      <c r="D942" s="1100">
        <v>1.0250348709515362</v>
      </c>
      <c r="E942" s="1100">
        <v>1.0310035888897569</v>
      </c>
      <c r="F942" s="1100">
        <v>1.0140833644545744</v>
      </c>
      <c r="G942" s="1100">
        <v>0.9671879496136393</v>
      </c>
      <c r="H942" s="1100">
        <v>0.9666678980724992</v>
      </c>
      <c r="I942" s="1100">
        <v>0.983455719582916</v>
      </c>
      <c r="K942">
        <v>1.3313436676988293</v>
      </c>
      <c r="L942">
        <v>0</v>
      </c>
      <c r="M942">
        <v>5.6097392303754677E-4</v>
      </c>
      <c r="N942">
        <v>5.663718871570643E-2</v>
      </c>
      <c r="O942">
        <v>8.00146126255105E-3</v>
      </c>
      <c r="P942">
        <v>1.6791586331484712E-2</v>
      </c>
      <c r="Q942">
        <v>4.7780318110019409E-4</v>
      </c>
      <c r="R942">
        <v>5.5926150735931528E-4</v>
      </c>
      <c r="S942">
        <v>6.0139529319040236E-2</v>
      </c>
      <c r="T942">
        <v>1.0459968198056213</v>
      </c>
      <c r="U942">
        <v>0</v>
      </c>
      <c r="V942">
        <v>9.7160273598827229E-2</v>
      </c>
      <c r="W942">
        <v>3.6535612428717348E-2</v>
      </c>
      <c r="X942">
        <v>8.0829800089331459E-3</v>
      </c>
      <c r="Y942">
        <v>1.5221254625257031E-3</v>
      </c>
    </row>
    <row r="943" spans="1:25" x14ac:dyDescent="0.25">
      <c r="A943" s="1096"/>
      <c r="B943" s="1455">
        <v>693</v>
      </c>
      <c r="C943" s="1100">
        <v>1.0229217817122751</v>
      </c>
      <c r="D943" s="1100">
        <v>1.0176490827516071</v>
      </c>
      <c r="E943" s="1100">
        <v>1.0045675948999873</v>
      </c>
      <c r="F943" s="1100">
        <v>1.0086815872710087</v>
      </c>
      <c r="G943" s="1100">
        <v>1.0295136571118912</v>
      </c>
      <c r="H943" s="1100">
        <v>0.96942352122475328</v>
      </c>
      <c r="I943" s="1100">
        <v>0.9893048921532136</v>
      </c>
      <c r="K943">
        <v>1.3168057591016729</v>
      </c>
      <c r="L943">
        <v>0</v>
      </c>
      <c r="M943">
        <v>5.6028009048140765E-4</v>
      </c>
      <c r="N943">
        <v>5.2230794760833046E-2</v>
      </c>
      <c r="O943">
        <v>7.5361878463693042E-3</v>
      </c>
      <c r="P943">
        <v>1.6381766354857229E-2</v>
      </c>
      <c r="Q943">
        <v>4.3833242192214462E-4</v>
      </c>
      <c r="R943">
        <v>5.5857465436609174E-4</v>
      </c>
      <c r="S943">
        <v>5.7140535921269116E-2</v>
      </c>
      <c r="T943">
        <v>1.041204662003264</v>
      </c>
      <c r="U943">
        <v>0</v>
      </c>
      <c r="V943">
        <v>9.8596839666249103E-2</v>
      </c>
      <c r="W943">
        <v>3.4219227141316526E-2</v>
      </c>
      <c r="X943">
        <v>7.5388623466067116E-3</v>
      </c>
      <c r="Y943">
        <v>1.5202560750991767E-3</v>
      </c>
    </row>
    <row r="944" spans="1:25" x14ac:dyDescent="0.25">
      <c r="A944" s="1096"/>
      <c r="B944" s="1455">
        <v>694</v>
      </c>
      <c r="C944" s="1100">
        <v>1.0254430788849735</v>
      </c>
      <c r="D944" s="1100">
        <v>1.0356087698968222</v>
      </c>
      <c r="E944" s="1100">
        <v>0.99877298778310775</v>
      </c>
      <c r="F944" s="1100">
        <v>1.0254729752979341</v>
      </c>
      <c r="G944" s="1100">
        <v>0.99004747020922523</v>
      </c>
      <c r="H944" s="1100">
        <v>0.97024092466050915</v>
      </c>
      <c r="I944" s="1100">
        <v>0.99349564389455414</v>
      </c>
      <c r="K944">
        <v>1.3308624952653245</v>
      </c>
      <c r="L944">
        <v>0</v>
      </c>
      <c r="M944">
        <v>5.6219179656341383E-4</v>
      </c>
      <c r="N944">
        <v>5.1499725038425821E-2</v>
      </c>
      <c r="O944">
        <v>7.4638673014911601E-3</v>
      </c>
      <c r="P944">
        <v>1.6517186543263764E-2</v>
      </c>
      <c r="Q944">
        <v>4.3160704518494197E-4</v>
      </c>
      <c r="R944">
        <v>5.6048198309667843E-4</v>
      </c>
      <c r="S944">
        <v>5.6724107964515907E-2</v>
      </c>
      <c r="T944">
        <v>1.058714032220732</v>
      </c>
      <c r="U944">
        <v>0</v>
      </c>
      <c r="V944">
        <v>9.6621562964191457E-2</v>
      </c>
      <c r="W944">
        <v>3.385651189847632E-2</v>
      </c>
      <c r="X944">
        <v>7.5101569073571864E-3</v>
      </c>
      <c r="Y944">
        <v>1.5254471951530871E-3</v>
      </c>
    </row>
    <row r="945" spans="1:25" x14ac:dyDescent="0.25">
      <c r="A945" s="1096"/>
      <c r="B945" s="1455">
        <v>695</v>
      </c>
      <c r="C945" s="1100">
        <v>1.0405651943133538</v>
      </c>
      <c r="D945" s="1100">
        <v>0.96939494214053135</v>
      </c>
      <c r="E945" s="1100">
        <v>0.99454813782165719</v>
      </c>
      <c r="F945" s="1100">
        <v>0.99685711882844885</v>
      </c>
      <c r="G945" s="1100">
        <v>0.98114168530402246</v>
      </c>
      <c r="H945" s="1100">
        <v>1.0048927975129205</v>
      </c>
      <c r="I945" s="1100">
        <v>0.99611728289442569</v>
      </c>
      <c r="K945">
        <v>1.3064580789522624</v>
      </c>
      <c r="L945">
        <v>0</v>
      </c>
      <c r="M945">
        <v>5.9435910475219968E-4</v>
      </c>
      <c r="N945">
        <v>5.3761358620734438E-2</v>
      </c>
      <c r="O945">
        <v>7.5513770851559888E-3</v>
      </c>
      <c r="P945">
        <v>1.608703583475634E-2</v>
      </c>
      <c r="Q945">
        <v>4.3481350764711568E-4</v>
      </c>
      <c r="R945">
        <v>5.926137930333062E-4</v>
      </c>
      <c r="S945">
        <v>5.9098333559975486E-2</v>
      </c>
      <c r="T945">
        <v>1.0292963601145642</v>
      </c>
      <c r="U945">
        <v>0</v>
      </c>
      <c r="V945">
        <v>9.5834898952362399E-2</v>
      </c>
      <c r="W945">
        <v>3.5432430169886911E-2</v>
      </c>
      <c r="X945">
        <v>7.3503170293442921E-3</v>
      </c>
      <c r="Y945">
        <v>1.6128993895522894E-3</v>
      </c>
    </row>
    <row r="946" spans="1:25" x14ac:dyDescent="0.25">
      <c r="A946" s="1096"/>
      <c r="B946" s="1455">
        <v>696</v>
      </c>
      <c r="C946" s="1100">
        <v>0.99994068929927926</v>
      </c>
      <c r="D946" s="1100">
        <v>1.0054031367723022</v>
      </c>
      <c r="E946" s="1100">
        <v>1.0135395130217424</v>
      </c>
      <c r="F946" s="1100">
        <v>1.0325754829070666</v>
      </c>
      <c r="G946" s="1100">
        <v>1.0312433387050848</v>
      </c>
      <c r="H946" s="1100">
        <v>1.0426208396392371</v>
      </c>
      <c r="I946" s="1100">
        <v>1.037886177463879</v>
      </c>
      <c r="K946">
        <v>1.3597959141099807</v>
      </c>
      <c r="L946">
        <v>0</v>
      </c>
      <c r="M946">
        <v>6.0798885963878014E-4</v>
      </c>
      <c r="N946">
        <v>5.8247106031578115E-2</v>
      </c>
      <c r="O946">
        <v>7.7490129900139471E-3</v>
      </c>
      <c r="P946">
        <v>1.693112652115215E-2</v>
      </c>
      <c r="Q946">
        <v>4.5477371717622293E-4</v>
      </c>
      <c r="R946">
        <v>6.062681284173181E-4</v>
      </c>
      <c r="S946">
        <v>6.4049421508070969E-2</v>
      </c>
      <c r="T946">
        <v>1.06559571852279</v>
      </c>
      <c r="U946">
        <v>0</v>
      </c>
      <c r="V946">
        <v>9.9247507242055263E-2</v>
      </c>
      <c r="W946">
        <v>3.7959330894812612E-2</v>
      </c>
      <c r="X946">
        <v>7.9135754242339561E-3</v>
      </c>
      <c r="Y946">
        <v>1.6500619893171202E-3</v>
      </c>
    </row>
    <row r="947" spans="1:25" x14ac:dyDescent="0.25">
      <c r="A947" s="1096"/>
      <c r="B947" s="1455">
        <v>697</v>
      </c>
      <c r="C947" s="1100">
        <v>0.99563610390833357</v>
      </c>
      <c r="D947" s="1100">
        <v>0.99014667456577821</v>
      </c>
      <c r="E947" s="1100">
        <v>1.0046720508143097</v>
      </c>
      <c r="F947" s="1100">
        <v>1.0358581182432702</v>
      </c>
      <c r="G947" s="1100">
        <v>0.99921918067016524</v>
      </c>
      <c r="H947" s="1100">
        <v>1.0412176091334071</v>
      </c>
      <c r="I947" s="1100">
        <v>0.98285020275849255</v>
      </c>
      <c r="K947">
        <v>1.3594724384073502</v>
      </c>
      <c r="L947">
        <v>0</v>
      </c>
      <c r="M947">
        <v>6.2494265598903715E-4</v>
      </c>
      <c r="N947">
        <v>5.8289461413932528E-2</v>
      </c>
      <c r="O947">
        <v>7.8280635959293351E-3</v>
      </c>
      <c r="P947">
        <v>1.6813787090648583E-2</v>
      </c>
      <c r="Q947">
        <v>4.5535667629109091E-4</v>
      </c>
      <c r="R947">
        <v>6.2317155843671283E-4</v>
      </c>
      <c r="S947">
        <v>6.1363036486050168E-2</v>
      </c>
      <c r="T947">
        <v>1.0692542442786188</v>
      </c>
      <c r="U947">
        <v>0</v>
      </c>
      <c r="V947">
        <v>9.779537170470852E-2</v>
      </c>
      <c r="W947">
        <v>3.8186226188477647E-2</v>
      </c>
      <c r="X947">
        <v>7.7925945166302307E-3</v>
      </c>
      <c r="Y947">
        <v>1.6960675536157037E-3</v>
      </c>
    </row>
    <row r="948" spans="1:25" x14ac:dyDescent="0.25">
      <c r="A948" s="1096"/>
      <c r="B948" s="1455">
        <v>698</v>
      </c>
      <c r="C948" s="1100">
        <v>1.0002248153188822</v>
      </c>
      <c r="D948" s="1100">
        <v>0.95698562886905092</v>
      </c>
      <c r="E948" s="1100">
        <v>1.0399728722247392</v>
      </c>
      <c r="F948" s="1100">
        <v>1.0057598913272097</v>
      </c>
      <c r="G948" s="1100">
        <v>1.0297254509629665</v>
      </c>
      <c r="H948" s="1100">
        <v>0.97423493702557518</v>
      </c>
      <c r="I948" s="1100">
        <v>1.024115939599284</v>
      </c>
      <c r="K948">
        <v>1.3273247804209647</v>
      </c>
      <c r="L948">
        <v>0</v>
      </c>
      <c r="M948">
        <v>5.4824369867856749E-4</v>
      </c>
      <c r="N948">
        <v>5.6869704010802345E-2</v>
      </c>
      <c r="O948">
        <v>7.907899589695188E-3</v>
      </c>
      <c r="P948">
        <v>1.6841483118615181E-2</v>
      </c>
      <c r="Q948">
        <v>4.7640968150666497E-4</v>
      </c>
      <c r="R948">
        <v>5.4658314175638106E-4</v>
      </c>
      <c r="S948">
        <v>6.2719494165771397E-2</v>
      </c>
      <c r="T948">
        <v>1.0371523819622004</v>
      </c>
      <c r="U948">
        <v>0</v>
      </c>
      <c r="V948">
        <v>9.9197093701062458E-2</v>
      </c>
      <c r="W948">
        <v>3.6495913905137428E-2</v>
      </c>
      <c r="X948">
        <v>8.1784417123192833E-3</v>
      </c>
      <c r="Y948">
        <v>1.4876191307766145E-3</v>
      </c>
    </row>
    <row r="949" spans="1:25" x14ac:dyDescent="0.25">
      <c r="A949" s="1096"/>
      <c r="B949" s="1455">
        <v>699</v>
      </c>
      <c r="C949" s="1100">
        <v>1.0137539884310682</v>
      </c>
      <c r="D949" s="1100">
        <v>1.0012200152597084</v>
      </c>
      <c r="E949" s="1100">
        <v>1.0245946146148199</v>
      </c>
      <c r="F949" s="1100">
        <v>0.97330779329175976</v>
      </c>
      <c r="G949" s="1100">
        <v>1.0241837894718546</v>
      </c>
      <c r="H949" s="1100">
        <v>0.99227283259701371</v>
      </c>
      <c r="I949" s="1100">
        <v>0.99061197983815441</v>
      </c>
      <c r="K949">
        <v>1.2862700119915618</v>
      </c>
      <c r="L949">
        <v>0</v>
      </c>
      <c r="M949">
        <v>5.586992290277055E-4</v>
      </c>
      <c r="N949">
        <v>5.5332378281076837E-2</v>
      </c>
      <c r="O949">
        <v>7.6588670169026596E-3</v>
      </c>
      <c r="P949">
        <v>1.6134894627421046E-2</v>
      </c>
      <c r="Q949">
        <v>4.5445304142645955E-4</v>
      </c>
      <c r="R949">
        <v>5.5703776558684091E-4</v>
      </c>
      <c r="S949">
        <v>5.8941977184351381E-2</v>
      </c>
      <c r="T949">
        <v>1.0041185581596108</v>
      </c>
      <c r="U949">
        <v>0</v>
      </c>
      <c r="V949">
        <v>9.8580631913698299E-2</v>
      </c>
      <c r="W949">
        <v>3.5827171420484132E-2</v>
      </c>
      <c r="X949">
        <v>7.7066686395514021E-3</v>
      </c>
      <c r="Y949">
        <v>1.5160731704773058E-3</v>
      </c>
    </row>
    <row r="950" spans="1:25" x14ac:dyDescent="0.25">
      <c r="A950" s="1096"/>
      <c r="B950" s="1455">
        <v>700</v>
      </c>
      <c r="C950" s="1100">
        <v>1.0429289677411857</v>
      </c>
      <c r="D950" s="1100">
        <v>0.99842838915220899</v>
      </c>
      <c r="E950" s="1100">
        <v>1.0180744845565912</v>
      </c>
      <c r="F950" s="1100">
        <v>0.98849684230067059</v>
      </c>
      <c r="G950" s="1100">
        <v>1.0191268346200479</v>
      </c>
      <c r="H950" s="1100">
        <v>1.0135240049284553</v>
      </c>
      <c r="I950" s="1100">
        <v>0.9590672401215905</v>
      </c>
      <c r="K950">
        <v>1.2972285893788387</v>
      </c>
      <c r="L950">
        <v>0</v>
      </c>
      <c r="M950">
        <v>5.6290719769214919E-4</v>
      </c>
      <c r="N950">
        <v>5.4666789269508187E-2</v>
      </c>
      <c r="O950">
        <v>7.4513957899834315E-3</v>
      </c>
      <c r="P950">
        <v>1.6225609110005909E-2</v>
      </c>
      <c r="Q950">
        <v>4.3928776529935298E-4</v>
      </c>
      <c r="R950">
        <v>5.6126831985976353E-4</v>
      </c>
      <c r="S950">
        <v>5.6143338788644526E-2</v>
      </c>
      <c r="T950">
        <v>1.0199761835071848</v>
      </c>
      <c r="U950">
        <v>0</v>
      </c>
      <c r="V950">
        <v>9.7644536805489776E-2</v>
      </c>
      <c r="W950">
        <v>3.5531348148947706E-2</v>
      </c>
      <c r="X950">
        <v>7.6241517269983955E-3</v>
      </c>
      <c r="Y950">
        <v>1.5275873446063603E-3</v>
      </c>
    </row>
    <row r="951" spans="1:25" x14ac:dyDescent="0.25">
      <c r="A951" s="1096"/>
      <c r="B951" s="1455">
        <v>701</v>
      </c>
      <c r="C951" s="1100">
        <v>0.97280657132682191</v>
      </c>
      <c r="D951" s="1100">
        <v>1.0134175975609094</v>
      </c>
      <c r="E951" s="1100">
        <v>0.98983627447946199</v>
      </c>
      <c r="F951" s="1100">
        <v>1.0121206917819769</v>
      </c>
      <c r="G951" s="1100">
        <v>0.96813620626962171</v>
      </c>
      <c r="H951" s="1100">
        <v>1.0182969127079016</v>
      </c>
      <c r="I951" s="1100">
        <v>0.9828415939732561</v>
      </c>
      <c r="K951">
        <v>1.3319047285045731</v>
      </c>
      <c r="L951">
        <v>0</v>
      </c>
      <c r="M951">
        <v>6.3910305675602742E-4</v>
      </c>
      <c r="N951">
        <v>5.6993204479087428E-2</v>
      </c>
      <c r="O951">
        <v>7.9339457795923555E-3</v>
      </c>
      <c r="P951">
        <v>1.6289283808750641E-2</v>
      </c>
      <c r="Q951">
        <v>4.5467413028194232E-4</v>
      </c>
      <c r="R951">
        <v>6.3725105972543188E-4</v>
      </c>
      <c r="S951">
        <v>6.131090743672106E-2</v>
      </c>
      <c r="T951">
        <v>1.0451996926475844</v>
      </c>
      <c r="U951">
        <v>0</v>
      </c>
      <c r="V951">
        <v>9.6859267401234475E-2</v>
      </c>
      <c r="W951">
        <v>3.7668431597000201E-2</v>
      </c>
      <c r="X951">
        <v>7.4627859065333028E-3</v>
      </c>
      <c r="Y951">
        <v>1.7343873148172448E-3</v>
      </c>
    </row>
    <row r="952" spans="1:25" x14ac:dyDescent="0.25">
      <c r="A952" s="1096"/>
      <c r="B952" s="1455">
        <v>702</v>
      </c>
      <c r="C952" s="1100">
        <v>1.0158187492010593</v>
      </c>
      <c r="D952" s="1100">
        <v>0.99590386017878296</v>
      </c>
      <c r="E952" s="1100">
        <v>1.0079484567394599</v>
      </c>
      <c r="F952" s="1100">
        <v>1.0076650969619625</v>
      </c>
      <c r="G952" s="1100">
        <v>0.99825311546581563</v>
      </c>
      <c r="H952" s="1100">
        <v>1.0063938383674276</v>
      </c>
      <c r="I952" s="1100">
        <v>1.0435104649695277</v>
      </c>
      <c r="K952">
        <v>1.3250719485995321</v>
      </c>
      <c r="L952">
        <v>0</v>
      </c>
      <c r="M952">
        <v>5.8666399011871094E-4</v>
      </c>
      <c r="N952">
        <v>5.525779678917362E-2</v>
      </c>
      <c r="O952">
        <v>7.6555542832234492E-3</v>
      </c>
      <c r="P952">
        <v>1.6463249240259676E-2</v>
      </c>
      <c r="Q952">
        <v>4.4678575309159315E-4</v>
      </c>
      <c r="R952">
        <v>5.8494384423341526E-4</v>
      </c>
      <c r="S952">
        <v>6.2567646956340747E-2</v>
      </c>
      <c r="T952">
        <v>1.0400546285079497</v>
      </c>
      <c r="U952">
        <v>0</v>
      </c>
      <c r="V952">
        <v>9.7257687458834688E-2</v>
      </c>
      <c r="W952">
        <v>3.6130065941422956E-2</v>
      </c>
      <c r="X952">
        <v>7.6482294978032191E-3</v>
      </c>
      <c r="Y952">
        <v>1.5920243173169278E-3</v>
      </c>
    </row>
    <row r="953" spans="1:25" x14ac:dyDescent="0.25">
      <c r="A953" s="1096"/>
      <c r="B953" s="1455">
        <v>703</v>
      </c>
      <c r="C953" s="1100">
        <v>1.0077353721770226</v>
      </c>
      <c r="D953" s="1100">
        <v>1.0085592582505516</v>
      </c>
      <c r="E953" s="1100">
        <v>0.9935410461236307</v>
      </c>
      <c r="F953" s="1100">
        <v>0.99958363909561299</v>
      </c>
      <c r="G953" s="1100">
        <v>1.0163987973518029</v>
      </c>
      <c r="H953" s="1100">
        <v>1.0111415277793696</v>
      </c>
      <c r="I953" s="1100">
        <v>1.026704628265575</v>
      </c>
      <c r="K953">
        <v>1.316731605264277</v>
      </c>
      <c r="L953">
        <v>0</v>
      </c>
      <c r="M953">
        <v>6.0910205449783694E-4</v>
      </c>
      <c r="N953">
        <v>5.4928444898484502E-2</v>
      </c>
      <c r="O953">
        <v>7.6745842821143604E-3</v>
      </c>
      <c r="P953">
        <v>1.6183451844353134E-2</v>
      </c>
      <c r="Q953">
        <v>4.4145926614492153E-4</v>
      </c>
      <c r="R953">
        <v>6.0732450404865743E-4</v>
      </c>
      <c r="S953">
        <v>6.1768191170924552E-2</v>
      </c>
      <c r="T953">
        <v>1.0321417479758612</v>
      </c>
      <c r="U953">
        <v>0</v>
      </c>
      <c r="V953">
        <v>9.8315173149892007E-2</v>
      </c>
      <c r="W953">
        <v>3.6223397814379651E-2</v>
      </c>
      <c r="X953">
        <v>7.403995317017964E-3</v>
      </c>
      <c r="Y953">
        <v>1.6529370955514924E-3</v>
      </c>
    </row>
    <row r="954" spans="1:25" x14ac:dyDescent="0.25">
      <c r="A954" s="1096"/>
      <c r="B954" s="1455">
        <v>704</v>
      </c>
      <c r="C954" s="1100">
        <v>1.0063068040901473</v>
      </c>
      <c r="D954" s="1100">
        <v>0.97054941714377974</v>
      </c>
      <c r="E954" s="1100">
        <v>0.99314448483192308</v>
      </c>
      <c r="F954" s="1100">
        <v>0.98196776766410665</v>
      </c>
      <c r="G954" s="1100">
        <v>1.0103914121412312</v>
      </c>
      <c r="H954" s="1100">
        <v>1.0151327078170187</v>
      </c>
      <c r="I954" s="1100">
        <v>1.0012798448253044</v>
      </c>
      <c r="K954">
        <v>1.2999698481338386</v>
      </c>
      <c r="L954">
        <v>0</v>
      </c>
      <c r="M954">
        <v>6.2236822868462136E-4</v>
      </c>
      <c r="N954">
        <v>5.6058189799698656E-2</v>
      </c>
      <c r="O954">
        <v>7.8043909814413609E-3</v>
      </c>
      <c r="P954">
        <v>1.5927589811534141E-2</v>
      </c>
      <c r="Q954">
        <v>4.4874646408173233E-4</v>
      </c>
      <c r="R954">
        <v>6.2055910436618347E-4</v>
      </c>
      <c r="S954">
        <v>6.1701168181684307E-2</v>
      </c>
      <c r="T954">
        <v>1.0139637663443892</v>
      </c>
      <c r="U954">
        <v>0</v>
      </c>
      <c r="V954">
        <v>9.8059033845360022E-2</v>
      </c>
      <c r="W954">
        <v>3.6977185491677736E-2</v>
      </c>
      <c r="X954">
        <v>7.3426290234572264E-3</v>
      </c>
      <c r="Y954">
        <v>1.688957314830976E-3</v>
      </c>
    </row>
    <row r="955" spans="1:25" x14ac:dyDescent="0.25">
      <c r="A955" s="1096"/>
      <c r="B955" s="1455">
        <v>705</v>
      </c>
      <c r="C955" s="1100">
        <v>0.99056668139697168</v>
      </c>
      <c r="D955" s="1100">
        <v>0.98370988692356331</v>
      </c>
      <c r="E955" s="1100">
        <v>0.99207835383715126</v>
      </c>
      <c r="F955" s="1100">
        <v>1.0451507244508718</v>
      </c>
      <c r="G955" s="1100">
        <v>0.95884388552291222</v>
      </c>
      <c r="H955" s="1100">
        <v>1.0266413341582701</v>
      </c>
      <c r="I955" s="1100">
        <v>0.97551068809715813</v>
      </c>
      <c r="K955">
        <v>1.3656436995694452</v>
      </c>
      <c r="L955">
        <v>0</v>
      </c>
      <c r="M955">
        <v>6.373964006716993E-4</v>
      </c>
      <c r="N955">
        <v>5.7228956597446194E-2</v>
      </c>
      <c r="O955">
        <v>7.8855379992748918E-3</v>
      </c>
      <c r="P955">
        <v>1.6761491044038974E-2</v>
      </c>
      <c r="Q955">
        <v>4.5292472379358231E-4</v>
      </c>
      <c r="R955">
        <v>6.3556436182000129E-4</v>
      </c>
      <c r="S955">
        <v>6.0976421161127427E-2</v>
      </c>
      <c r="T955">
        <v>1.0792388602065728</v>
      </c>
      <c r="U955">
        <v>0</v>
      </c>
      <c r="V955">
        <v>9.5955551482842336E-2</v>
      </c>
      <c r="W955">
        <v>3.7773516050949356E-2</v>
      </c>
      <c r="X955">
        <v>7.6424756631108459E-3</v>
      </c>
      <c r="Y955">
        <v>1.7297966791384775E-3</v>
      </c>
    </row>
    <row r="956" spans="1:25" x14ac:dyDescent="0.25">
      <c r="A956" s="1096"/>
      <c r="B956" s="1455">
        <v>706</v>
      </c>
      <c r="C956" s="1100">
        <v>1.0007891662870338</v>
      </c>
      <c r="D956" s="1100">
        <v>1.0031042667660686</v>
      </c>
      <c r="E956" s="1100">
        <v>0.97846828839302591</v>
      </c>
      <c r="F956" s="1100">
        <v>1.0277743910796335</v>
      </c>
      <c r="G956" s="1100">
        <v>0.9914733427532687</v>
      </c>
      <c r="H956" s="1100">
        <v>0.97281225885406586</v>
      </c>
      <c r="I956" s="1100">
        <v>0.99641627511806408</v>
      </c>
      <c r="K956">
        <v>1.3393740906867393</v>
      </c>
      <c r="L956">
        <v>0</v>
      </c>
      <c r="M956">
        <v>6.1010116682189467E-4</v>
      </c>
      <c r="N956">
        <v>5.256077180905714E-2</v>
      </c>
      <c r="O956">
        <v>7.7409498727429903E-3</v>
      </c>
      <c r="P956">
        <v>1.6350632225687348E-2</v>
      </c>
      <c r="Q956">
        <v>4.3852950888252819E-4</v>
      </c>
      <c r="R956">
        <v>6.0825054943030839E-4</v>
      </c>
      <c r="S956">
        <v>5.9359481321196464E-2</v>
      </c>
      <c r="T956">
        <v>1.0617182973090631</v>
      </c>
      <c r="U956">
        <v>0</v>
      </c>
      <c r="V956">
        <v>9.7263404067297332E-2</v>
      </c>
      <c r="W956">
        <v>3.497740010421585E-2</v>
      </c>
      <c r="X956">
        <v>7.3110176001778176E-3</v>
      </c>
      <c r="Y956">
        <v>1.6554574858095681E-3</v>
      </c>
    </row>
    <row r="957" spans="1:25" x14ac:dyDescent="0.25">
      <c r="A957" s="1096"/>
      <c r="B957" s="1455">
        <v>707</v>
      </c>
      <c r="C957" s="1100">
        <v>0.99650605439471107</v>
      </c>
      <c r="D957" s="1100">
        <v>1.0004704126609738</v>
      </c>
      <c r="E957" s="1100">
        <v>0.98325074482906805</v>
      </c>
      <c r="F957" s="1100">
        <v>0.96594626411560558</v>
      </c>
      <c r="G957" s="1100">
        <v>0.96867171867035251</v>
      </c>
      <c r="H957" s="1100">
        <v>0.97286842688400421</v>
      </c>
      <c r="I957" s="1100">
        <v>0.95403383305683231</v>
      </c>
      <c r="K957">
        <v>1.2719139886737474</v>
      </c>
      <c r="L957">
        <v>0</v>
      </c>
      <c r="M957">
        <v>6.0736665917309461E-4</v>
      </c>
      <c r="N957">
        <v>5.3087806885844663E-2</v>
      </c>
      <c r="O957">
        <v>7.7835758839487649E-3</v>
      </c>
      <c r="P957">
        <v>1.5505073231635063E-2</v>
      </c>
      <c r="Q957">
        <v>4.4309186406046402E-4</v>
      </c>
      <c r="R957">
        <v>6.05524442717961E-4</v>
      </c>
      <c r="S957">
        <v>5.7165775239768207E-2</v>
      </c>
      <c r="T957">
        <v>0.99770805202762824</v>
      </c>
      <c r="U957">
        <v>0</v>
      </c>
      <c r="V957">
        <v>9.6272141956963903E-2</v>
      </c>
      <c r="W957">
        <v>3.5226321218599074E-2</v>
      </c>
      <c r="X957">
        <v>7.0759546597537835E-3</v>
      </c>
      <c r="Y957">
        <v>1.6480379219993941E-3</v>
      </c>
    </row>
    <row r="958" spans="1:25" x14ac:dyDescent="0.25">
      <c r="A958" s="1096"/>
      <c r="B958" s="1455">
        <v>708</v>
      </c>
      <c r="C958" s="1100">
        <v>1.0003949159224166</v>
      </c>
      <c r="D958" s="1100">
        <v>1.0211321665171007</v>
      </c>
      <c r="E958" s="1100">
        <v>0.96907708520714186</v>
      </c>
      <c r="F958" s="1100">
        <v>1.0242214022417144</v>
      </c>
      <c r="G958" s="1100">
        <v>1.0190686455351339</v>
      </c>
      <c r="H958" s="1100">
        <v>0.98173766487458369</v>
      </c>
      <c r="I958" s="1100">
        <v>0.96798519779940329</v>
      </c>
      <c r="K958">
        <v>1.3346270161954812</v>
      </c>
      <c r="L958">
        <v>0</v>
      </c>
      <c r="M958">
        <v>6.2354841176333027E-4</v>
      </c>
      <c r="N958">
        <v>5.2215099931469083E-2</v>
      </c>
      <c r="O958">
        <v>7.6867450818715044E-3</v>
      </c>
      <c r="P958">
        <v>1.6180293110157531E-2</v>
      </c>
      <c r="Q958">
        <v>4.3130769930137892E-4</v>
      </c>
      <c r="R958">
        <v>6.2167420050441755E-4</v>
      </c>
      <c r="S958">
        <v>5.739116834683726E-2</v>
      </c>
      <c r="T958">
        <v>1.0583418113855252</v>
      </c>
      <c r="U958">
        <v>0</v>
      </c>
      <c r="V958">
        <v>9.8597525224180652E-2</v>
      </c>
      <c r="W958">
        <v>3.4945948106394911E-2</v>
      </c>
      <c r="X958">
        <v>7.1469992820749912E-3</v>
      </c>
      <c r="Y958">
        <v>1.6919922389279053E-3</v>
      </c>
    </row>
    <row r="959" spans="1:25" x14ac:dyDescent="0.25">
      <c r="A959" s="1096"/>
      <c r="B959" s="1455">
        <v>709</v>
      </c>
      <c r="C959" s="1100">
        <v>1.014896748337007</v>
      </c>
      <c r="D959" s="1100">
        <v>1.0331554017302362</v>
      </c>
      <c r="E959" s="1100">
        <v>0.99914088767209241</v>
      </c>
      <c r="F959" s="1100">
        <v>1.0266615419105385</v>
      </c>
      <c r="G959" s="1100">
        <v>1.0145366659599708</v>
      </c>
      <c r="H959" s="1100">
        <v>1.007153165523206</v>
      </c>
      <c r="I959" s="1100">
        <v>0.97697950172444858</v>
      </c>
      <c r="K959">
        <v>1.3388521563888336</v>
      </c>
      <c r="L959">
        <v>0</v>
      </c>
      <c r="M959">
        <v>5.8975385608407162E-4</v>
      </c>
      <c r="N959">
        <v>5.4090688121011275E-2</v>
      </c>
      <c r="O959">
        <v>7.5486742860658785E-3</v>
      </c>
      <c r="P959">
        <v>1.6568518532223835E-2</v>
      </c>
      <c r="Q959">
        <v>4.3667265764884395E-4</v>
      </c>
      <c r="R959">
        <v>5.880259541710274E-4</v>
      </c>
      <c r="S959">
        <v>5.7503917800210018E-2</v>
      </c>
      <c r="T959">
        <v>1.0599298723525892</v>
      </c>
      <c r="U959">
        <v>0</v>
      </c>
      <c r="V959">
        <v>9.8057811371559819E-2</v>
      </c>
      <c r="W959">
        <v>3.5552059792278483E-2</v>
      </c>
      <c r="X959">
        <v>7.565256572608833E-3</v>
      </c>
      <c r="Y959">
        <v>1.6004128045498402E-3</v>
      </c>
    </row>
    <row r="960" spans="1:25" x14ac:dyDescent="0.25">
      <c r="A960" s="1096"/>
      <c r="B960" s="1455">
        <v>710</v>
      </c>
      <c r="C960" s="1100">
        <v>1.0034678831279338</v>
      </c>
      <c r="D960" s="1100">
        <v>1.0140595931194663</v>
      </c>
      <c r="E960" s="1100">
        <v>1.0168282289832546</v>
      </c>
      <c r="F960" s="1100">
        <v>1.0013713494532801</v>
      </c>
      <c r="G960" s="1100">
        <v>1.006000155277307</v>
      </c>
      <c r="H960" s="1100">
        <v>0.99364318585430278</v>
      </c>
      <c r="I960" s="1100">
        <v>0.97450323046816079</v>
      </c>
      <c r="K960">
        <v>1.314564144698249</v>
      </c>
      <c r="L960">
        <v>0</v>
      </c>
      <c r="M960">
        <v>5.7149384877966619E-4</v>
      </c>
      <c r="N960">
        <v>5.5289140333640852E-2</v>
      </c>
      <c r="O960">
        <v>7.6961426584165916E-3</v>
      </c>
      <c r="P960">
        <v>1.6427427637517894E-2</v>
      </c>
      <c r="Q960">
        <v>4.5315393649453364E-4</v>
      </c>
      <c r="R960">
        <v>5.6979668044578676E-4</v>
      </c>
      <c r="S960">
        <v>5.8211771775301062E-2</v>
      </c>
      <c r="T960">
        <v>1.0332971864698424</v>
      </c>
      <c r="U960">
        <v>0</v>
      </c>
      <c r="V960">
        <v>9.7942768543973241E-2</v>
      </c>
      <c r="W960">
        <v>3.5962116752622481E-2</v>
      </c>
      <c r="X960">
        <v>7.7353350280247E-3</v>
      </c>
      <c r="Y960">
        <v>1.5507987307482039E-3</v>
      </c>
    </row>
    <row r="961" spans="1:25" x14ac:dyDescent="0.25">
      <c r="A961" s="1096"/>
      <c r="B961" s="1455">
        <v>711</v>
      </c>
      <c r="C961" s="1100">
        <v>0.97687914803207088</v>
      </c>
      <c r="D961" s="1100">
        <v>0.99810369566773527</v>
      </c>
      <c r="E961" s="1100">
        <v>0.99399044286998994</v>
      </c>
      <c r="F961" s="1100">
        <v>0.96956210487963534</v>
      </c>
      <c r="G961" s="1100">
        <v>1.021165228074602</v>
      </c>
      <c r="H961" s="1100">
        <v>0.98389854090565487</v>
      </c>
      <c r="I961" s="1100">
        <v>1.002442741034284</v>
      </c>
      <c r="K961">
        <v>1.2872377791168497</v>
      </c>
      <c r="L961">
        <v>0</v>
      </c>
      <c r="M961">
        <v>6.1339460154279611E-4</v>
      </c>
      <c r="N961">
        <v>5.5386243918990545E-2</v>
      </c>
      <c r="O961">
        <v>7.9501805825968868E-3</v>
      </c>
      <c r="P961">
        <v>1.5780703354724156E-2</v>
      </c>
      <c r="Q961">
        <v>4.5751952284539728E-4</v>
      </c>
      <c r="R961">
        <v>6.1155495897052868E-4</v>
      </c>
      <c r="S961">
        <v>6.1707880783158101E-2</v>
      </c>
      <c r="T961">
        <v>1.0011293120376481</v>
      </c>
      <c r="U961">
        <v>0</v>
      </c>
      <c r="V961">
        <v>9.932297173046177E-2</v>
      </c>
      <c r="W961">
        <v>3.6515497695273624E-2</v>
      </c>
      <c r="X961">
        <v>7.3248581344424833E-3</v>
      </c>
      <c r="Y961">
        <v>1.6644509992797354E-3</v>
      </c>
    </row>
    <row r="962" spans="1:25" x14ac:dyDescent="0.25">
      <c r="A962" s="1096"/>
      <c r="B962" s="1455">
        <v>712</v>
      </c>
      <c r="C962" s="1100">
        <v>0.99834576112644258</v>
      </c>
      <c r="D962" s="1100">
        <v>1.006270940512195</v>
      </c>
      <c r="E962" s="1100">
        <v>1.0113860078674091</v>
      </c>
      <c r="F962" s="1100">
        <v>0.97869192156933249</v>
      </c>
      <c r="G962" s="1100">
        <v>0.99082792124719765</v>
      </c>
      <c r="H962" s="1100">
        <v>0.99329153042871521</v>
      </c>
      <c r="I962" s="1100">
        <v>0.98610126926642916</v>
      </c>
      <c r="K962">
        <v>1.291837485691079</v>
      </c>
      <c r="L962">
        <v>0</v>
      </c>
      <c r="M962">
        <v>5.8254981137935489E-4</v>
      </c>
      <c r="N962">
        <v>5.544055296820815E-2</v>
      </c>
      <c r="O962">
        <v>7.7581853376886114E-3</v>
      </c>
      <c r="P962">
        <v>1.6050363628696575E-2</v>
      </c>
      <c r="Q962">
        <v>4.5433424321252177E-4</v>
      </c>
      <c r="R962">
        <v>5.8081919762122147E-4</v>
      </c>
      <c r="S962">
        <v>5.9436399883281893E-2</v>
      </c>
      <c r="T962">
        <v>1.010050992871478</v>
      </c>
      <c r="U962">
        <v>0</v>
      </c>
      <c r="V962">
        <v>9.7329352609686198E-2</v>
      </c>
      <c r="W962">
        <v>3.6176136051946008E-2</v>
      </c>
      <c r="X962">
        <v>7.5621003217097912E-3</v>
      </c>
      <c r="Y962">
        <v>1.5807983889279263E-3</v>
      </c>
    </row>
    <row r="963" spans="1:25" x14ac:dyDescent="0.25">
      <c r="A963" s="1096"/>
      <c r="B963" s="1455">
        <v>713</v>
      </c>
      <c r="C963" s="1100">
        <v>0.95678219498466321</v>
      </c>
      <c r="D963" s="1100">
        <v>1.0069364618879884</v>
      </c>
      <c r="E963" s="1100">
        <v>0.99243652464989218</v>
      </c>
      <c r="F963" s="1100">
        <v>1.0128667562202727</v>
      </c>
      <c r="G963" s="1100">
        <v>0.99647305426492461</v>
      </c>
      <c r="H963" s="1100">
        <v>0.98362297315214675</v>
      </c>
      <c r="I963" s="1100">
        <v>1.0464764141116476</v>
      </c>
      <c r="K963">
        <v>1.3375921040487906</v>
      </c>
      <c r="L963">
        <v>0</v>
      </c>
      <c r="M963">
        <v>6.2591285509882297E-4</v>
      </c>
      <c r="N963">
        <v>5.6251688252580263E-2</v>
      </c>
      <c r="O963">
        <v>8.0882182624353628E-3</v>
      </c>
      <c r="P963">
        <v>1.6411141119541298E-2</v>
      </c>
      <c r="Q963">
        <v>4.6473415439256895E-4</v>
      </c>
      <c r="R963">
        <v>6.2403514290667803E-4</v>
      </c>
      <c r="S963">
        <v>6.5450090122624885E-2</v>
      </c>
      <c r="T963">
        <v>1.0458910515701749</v>
      </c>
      <c r="U963">
        <v>0</v>
      </c>
      <c r="V963">
        <v>9.8659560395731968E-2</v>
      </c>
      <c r="W963">
        <v>3.7120526428931697E-2</v>
      </c>
      <c r="X963">
        <v>7.5585535087063253E-3</v>
      </c>
      <c r="Y963">
        <v>1.6984179458624047E-3</v>
      </c>
    </row>
    <row r="964" spans="1:25" x14ac:dyDescent="0.25">
      <c r="A964" s="1096"/>
      <c r="B964" s="1455">
        <v>714</v>
      </c>
      <c r="C964" s="1100">
        <v>1.0064701160713518</v>
      </c>
      <c r="D964" s="1100">
        <v>0.98549099979933552</v>
      </c>
      <c r="E964" s="1100">
        <v>1.0112831545594092</v>
      </c>
      <c r="F964" s="1100">
        <v>0.97472376999242405</v>
      </c>
      <c r="G964" s="1100">
        <v>1.0094147055630478</v>
      </c>
      <c r="H964" s="1100">
        <v>0.9716318851001321</v>
      </c>
      <c r="I964" s="1100">
        <v>1.008023561907093</v>
      </c>
      <c r="K964">
        <v>1.2872065564432325</v>
      </c>
      <c r="L964">
        <v>0</v>
      </c>
      <c r="M964">
        <v>5.7010639346612906E-4</v>
      </c>
      <c r="N964">
        <v>5.4235882357074418E-2</v>
      </c>
      <c r="O964">
        <v>7.7600360201854164E-3</v>
      </c>
      <c r="P964">
        <v>1.6014080615193587E-2</v>
      </c>
      <c r="Q964">
        <v>4.5439593549077649E-4</v>
      </c>
      <c r="R964">
        <v>5.6837499123988853E-4</v>
      </c>
      <c r="S964">
        <v>6.0279816066274181E-2</v>
      </c>
      <c r="T964">
        <v>1.0059586447461457</v>
      </c>
      <c r="U964">
        <v>0</v>
      </c>
      <c r="V964">
        <v>9.8028056986170203E-2</v>
      </c>
      <c r="W964">
        <v>3.5392207163047439E-2</v>
      </c>
      <c r="X964">
        <v>7.5382385944854158E-3</v>
      </c>
      <c r="Y964">
        <v>1.5469293613894698E-3</v>
      </c>
    </row>
    <row r="965" spans="1:25" x14ac:dyDescent="0.25">
      <c r="A965" s="1096"/>
      <c r="B965" s="1455">
        <v>715</v>
      </c>
      <c r="C965" s="1100">
        <v>0.99149945718831034</v>
      </c>
      <c r="D965" s="1100">
        <v>0.99914148234340183</v>
      </c>
      <c r="E965" s="1100">
        <v>1.0376512361386783</v>
      </c>
      <c r="F965" s="1100">
        <v>1.0090101739718038</v>
      </c>
      <c r="G965" s="1100">
        <v>1.0125671084309551</v>
      </c>
      <c r="H965" s="1100">
        <v>0.98647791287716291</v>
      </c>
      <c r="I965" s="1100">
        <v>1.0108685482945914</v>
      </c>
      <c r="K965">
        <v>1.3289284409520765</v>
      </c>
      <c r="L965">
        <v>0</v>
      </c>
      <c r="M965">
        <v>5.5311773750896882E-4</v>
      </c>
      <c r="N965">
        <v>5.6977544184161955E-2</v>
      </c>
      <c r="O965">
        <v>7.8405337507293383E-3</v>
      </c>
      <c r="P965">
        <v>1.6834098405168727E-2</v>
      </c>
      <c r="Q965">
        <v>4.7127346792731172E-4</v>
      </c>
      <c r="R965">
        <v>5.5146320982527898E-4</v>
      </c>
      <c r="S965">
        <v>6.1398370715212848E-2</v>
      </c>
      <c r="T965">
        <v>1.0405711483534017</v>
      </c>
      <c r="U965">
        <v>0</v>
      </c>
      <c r="V965">
        <v>9.8582340135615773E-2</v>
      </c>
      <c r="W965">
        <v>3.6614090557549016E-2</v>
      </c>
      <c r="X965">
        <v>8.1397948426460229E-3</v>
      </c>
      <c r="Y965">
        <v>1.5009010673461478E-3</v>
      </c>
    </row>
    <row r="966" spans="1:25" x14ac:dyDescent="0.25">
      <c r="A966" s="1096"/>
      <c r="B966" s="1455">
        <v>716</v>
      </c>
      <c r="C966" s="1100">
        <v>0.99542424884941139</v>
      </c>
      <c r="D966" s="1100">
        <v>0.99429123860815838</v>
      </c>
      <c r="E966" s="1100">
        <v>1.0240001756980321</v>
      </c>
      <c r="F966" s="1100">
        <v>1.0345514007204444</v>
      </c>
      <c r="G966" s="1100">
        <v>0.99379527716139837</v>
      </c>
      <c r="H966" s="1100">
        <v>1.0049857205355572</v>
      </c>
      <c r="I966" s="1100">
        <v>1.0332549715872732</v>
      </c>
      <c r="K966">
        <v>1.3573556624958873</v>
      </c>
      <c r="L966">
        <v>0</v>
      </c>
      <c r="M966">
        <v>5.7859553826122704E-4</v>
      </c>
      <c r="N966">
        <v>5.7202387969056877E-2</v>
      </c>
      <c r="O966">
        <v>7.8214462379095472E-3</v>
      </c>
      <c r="P966">
        <v>1.7050929321796547E-2</v>
      </c>
      <c r="Q966">
        <v>4.6382644493619393E-4</v>
      </c>
      <c r="R966">
        <v>5.7689667271940517E-4</v>
      </c>
      <c r="S966">
        <v>6.3248653794190673E-2</v>
      </c>
      <c r="T966">
        <v>1.0673187377221924</v>
      </c>
      <c r="U966">
        <v>0</v>
      </c>
      <c r="V966">
        <v>9.75599582371348E-2</v>
      </c>
      <c r="W966">
        <v>3.7050824125855308E-2</v>
      </c>
      <c r="X966">
        <v>8.0704749391485395E-3</v>
      </c>
      <c r="Y966">
        <v>1.5701225692051695E-3</v>
      </c>
    </row>
    <row r="967" spans="1:25" x14ac:dyDescent="0.25">
      <c r="A967" s="1096"/>
      <c r="B967" s="1455">
        <v>717</v>
      </c>
      <c r="C967" s="1100">
        <v>1.0132476038582829</v>
      </c>
      <c r="D967" s="1100">
        <v>0.97798733589562203</v>
      </c>
      <c r="E967" s="1100">
        <v>0.97999591771415073</v>
      </c>
      <c r="F967" s="1100">
        <v>1.0075970611552791</v>
      </c>
      <c r="G967" s="1100">
        <v>1.0244858377597525</v>
      </c>
      <c r="H967" s="1100">
        <v>1.0246289416122312</v>
      </c>
      <c r="I967" s="1100">
        <v>0.98600845515242219</v>
      </c>
      <c r="K967">
        <v>1.325132677622364</v>
      </c>
      <c r="L967">
        <v>0</v>
      </c>
      <c r="M967">
        <v>6.3914574656500321E-4</v>
      </c>
      <c r="N967">
        <v>5.5326609756503345E-2</v>
      </c>
      <c r="O967">
        <v>7.7240900639451559E-3</v>
      </c>
      <c r="P967">
        <v>1.6119938550649741E-2</v>
      </c>
      <c r="Q967">
        <v>4.3825462175923834E-4</v>
      </c>
      <c r="R967">
        <v>6.3730507161208487E-4</v>
      </c>
      <c r="S967">
        <v>6.0369333516879738E-2</v>
      </c>
      <c r="T967">
        <v>1.0408278076929187</v>
      </c>
      <c r="U967">
        <v>0</v>
      </c>
      <c r="V967">
        <v>9.8557540738390209E-2</v>
      </c>
      <c r="W967">
        <v>3.6784004306293951E-2</v>
      </c>
      <c r="X967">
        <v>7.2524047326090798E-3</v>
      </c>
      <c r="Y967">
        <v>1.7345343173677005E-3</v>
      </c>
    </row>
    <row r="968" spans="1:25" x14ac:dyDescent="0.25">
      <c r="A968" s="1096"/>
      <c r="B968" s="1455">
        <v>718</v>
      </c>
      <c r="C968" s="1100">
        <v>1.0323014403225013</v>
      </c>
      <c r="D968" s="1100">
        <v>1.0020982110690988</v>
      </c>
      <c r="E968" s="1100">
        <v>1.0012611119236985</v>
      </c>
      <c r="F968" s="1100">
        <v>1.0350940147907177</v>
      </c>
      <c r="G968" s="1100">
        <v>0.96414166249444888</v>
      </c>
      <c r="H968" s="1100">
        <v>0.98113797513372036</v>
      </c>
      <c r="I968" s="1100">
        <v>1.0082538817221816</v>
      </c>
      <c r="K968">
        <v>1.3431364265090397</v>
      </c>
      <c r="L968">
        <v>0</v>
      </c>
      <c r="M968">
        <v>5.6926271731958455E-4</v>
      </c>
      <c r="N968">
        <v>5.2542716049701711E-2</v>
      </c>
      <c r="O968">
        <v>7.5130673397988653E-3</v>
      </c>
      <c r="P968">
        <v>1.6687853464990753E-2</v>
      </c>
      <c r="Q968">
        <v>4.3554001524807661E-4</v>
      </c>
      <c r="R968">
        <v>5.6755062777787938E-4</v>
      </c>
      <c r="S968">
        <v>5.8532077676663651E-2</v>
      </c>
      <c r="T968">
        <v>1.0685702840256031</v>
      </c>
      <c r="U968">
        <v>0</v>
      </c>
      <c r="V968">
        <v>9.5210484850782623E-2</v>
      </c>
      <c r="W968">
        <v>3.4491143471735097E-2</v>
      </c>
      <c r="X968">
        <v>7.6102859882587687E-3</v>
      </c>
      <c r="Y968">
        <v>1.544685715797223E-3</v>
      </c>
    </row>
    <row r="969" spans="1:25" x14ac:dyDescent="0.25">
      <c r="A969" s="1096"/>
      <c r="B969" s="1455">
        <v>719</v>
      </c>
      <c r="C969" s="1100">
        <v>0.99684020031111575</v>
      </c>
      <c r="D969" s="1100">
        <v>1.0114839528475461</v>
      </c>
      <c r="E969" s="1100">
        <v>0.98879233014871271</v>
      </c>
      <c r="F969" s="1100">
        <v>1.0047712785030867</v>
      </c>
      <c r="G969" s="1100">
        <v>0.96247396988917711</v>
      </c>
      <c r="H969" s="1100">
        <v>1.0115393435403917</v>
      </c>
      <c r="I969" s="1100">
        <v>1.0185439471972073</v>
      </c>
      <c r="K969">
        <v>1.3206483533858215</v>
      </c>
      <c r="L969">
        <v>0</v>
      </c>
      <c r="M969">
        <v>6.2137081854703809E-4</v>
      </c>
      <c r="N969">
        <v>5.5236197119115593E-2</v>
      </c>
      <c r="O969">
        <v>7.7483216131953182E-3</v>
      </c>
      <c r="P969">
        <v>1.6169638444277004E-2</v>
      </c>
      <c r="Q969">
        <v>4.4356801353705107E-4</v>
      </c>
      <c r="R969">
        <v>6.1955817715584986E-4</v>
      </c>
      <c r="S969">
        <v>6.1858651576637239E-2</v>
      </c>
      <c r="T969">
        <v>1.037641635374182</v>
      </c>
      <c r="U969">
        <v>0</v>
      </c>
      <c r="V969">
        <v>9.597010285315824E-2</v>
      </c>
      <c r="W969">
        <v>3.6530026025828846E-2</v>
      </c>
      <c r="X969">
        <v>7.3657918863611086E-3</v>
      </c>
      <c r="Y969">
        <v>1.6862331209200139E-3</v>
      </c>
    </row>
    <row r="970" spans="1:25" x14ac:dyDescent="0.25">
      <c r="A970" s="1096"/>
      <c r="B970" s="1455">
        <v>720</v>
      </c>
      <c r="C970" s="1100">
        <v>0.99835242162913118</v>
      </c>
      <c r="D970" s="1100">
        <v>1.032063694075225</v>
      </c>
      <c r="E970" s="1100">
        <v>0.9838061611510649</v>
      </c>
      <c r="F970" s="1100">
        <v>0.9966949377222305</v>
      </c>
      <c r="G970" s="1100">
        <v>0.96627795047734855</v>
      </c>
      <c r="H970" s="1100">
        <v>0.98523713480378206</v>
      </c>
      <c r="I970" s="1100">
        <v>1.0099820660677787</v>
      </c>
      <c r="K970">
        <v>1.3064976833096971</v>
      </c>
      <c r="L970">
        <v>0</v>
      </c>
      <c r="M970">
        <v>6.0566672892809533E-4</v>
      </c>
      <c r="N970">
        <v>5.3030263331198618E-2</v>
      </c>
      <c r="O970">
        <v>7.6732958250256235E-3</v>
      </c>
      <c r="P970">
        <v>1.5972402588296748E-2</v>
      </c>
      <c r="Q970">
        <v>4.3706018230853889E-4</v>
      </c>
      <c r="R970">
        <v>6.0385273109886145E-4</v>
      </c>
      <c r="S970">
        <v>5.97824508456875E-2</v>
      </c>
      <c r="T970">
        <v>1.0294510392367233</v>
      </c>
      <c r="U970">
        <v>0</v>
      </c>
      <c r="V970">
        <v>9.6110979613128658E-2</v>
      </c>
      <c r="W970">
        <v>3.5176372045240933E-2</v>
      </c>
      <c r="X970">
        <v>7.2221455658620145E-3</v>
      </c>
      <c r="Y970">
        <v>1.6434880740517925E-3</v>
      </c>
    </row>
    <row r="971" spans="1:25" x14ac:dyDescent="0.25">
      <c r="A971" s="1096"/>
      <c r="B971" s="1455">
        <v>721</v>
      </c>
      <c r="C971" s="1100">
        <v>0.98068922966026628</v>
      </c>
      <c r="D971" s="1100">
        <v>0.99960994288016314</v>
      </c>
      <c r="E971" s="1100">
        <v>1.0151739546886769</v>
      </c>
      <c r="F971" s="1100">
        <v>0.99876385754025809</v>
      </c>
      <c r="G971" s="1100">
        <v>0.99740018750028403</v>
      </c>
      <c r="H971" s="1100">
        <v>1.0269601135736766</v>
      </c>
      <c r="I971" s="1100">
        <v>0.98509176280498068</v>
      </c>
      <c r="K971">
        <v>1.3216563084538044</v>
      </c>
      <c r="L971">
        <v>0</v>
      </c>
      <c r="M971">
        <v>6.0994945243509767E-4</v>
      </c>
      <c r="N971">
        <v>5.8721354741294557E-2</v>
      </c>
      <c r="O971">
        <v>7.9198248950677706E-3</v>
      </c>
      <c r="P971">
        <v>1.642126192088951E-2</v>
      </c>
      <c r="Q971">
        <v>4.6555652459974673E-4</v>
      </c>
      <c r="R971">
        <v>6.0819684726746417E-4</v>
      </c>
      <c r="S971">
        <v>6.169722637896978E-2</v>
      </c>
      <c r="T971">
        <v>1.0306549550875788</v>
      </c>
      <c r="U971">
        <v>0</v>
      </c>
      <c r="V971">
        <v>9.8098616232942498E-2</v>
      </c>
      <c r="W971">
        <v>3.8231657501486244E-2</v>
      </c>
      <c r="X971">
        <v>7.7922964499162924E-3</v>
      </c>
      <c r="Y971">
        <v>1.6553113262252192E-3</v>
      </c>
    </row>
    <row r="972" spans="1:25" x14ac:dyDescent="0.25">
      <c r="A972" s="1096"/>
      <c r="B972" s="1455">
        <v>722</v>
      </c>
      <c r="C972" s="1100">
        <v>1.0127556985096864</v>
      </c>
      <c r="D972" s="1100">
        <v>1.0235115386762335</v>
      </c>
      <c r="E972" s="1100">
        <v>0.99520708994513429</v>
      </c>
      <c r="F972" s="1100">
        <v>0.99217394244459456</v>
      </c>
      <c r="G972" s="1100">
        <v>1.000947320996699</v>
      </c>
      <c r="H972" s="1100">
        <v>1.0002352905003196</v>
      </c>
      <c r="I972" s="1100">
        <v>0.9954225721314881</v>
      </c>
      <c r="K972">
        <v>1.3030242092115263</v>
      </c>
      <c r="L972">
        <v>0</v>
      </c>
      <c r="M972">
        <v>5.9397205360000867E-4</v>
      </c>
      <c r="N972">
        <v>5.3832717808573655E-2</v>
      </c>
      <c r="O972">
        <v>7.5921189638262811E-3</v>
      </c>
      <c r="P972">
        <v>1.6046863457887754E-2</v>
      </c>
      <c r="Q972">
        <v>4.374499313860891E-4</v>
      </c>
      <c r="R972">
        <v>5.9221975684423187E-4</v>
      </c>
      <c r="S972">
        <v>5.8799238388329234E-2</v>
      </c>
      <c r="T972">
        <v>1.0244412259357278</v>
      </c>
      <c r="U972">
        <v>0</v>
      </c>
      <c r="V972">
        <v>9.7447662406395616E-2</v>
      </c>
      <c r="W972">
        <v>3.5465511829828968E-2</v>
      </c>
      <c r="X972">
        <v>7.3513458333870074E-3</v>
      </c>
      <c r="Y972">
        <v>1.6118269529396235E-3</v>
      </c>
    </row>
    <row r="973" spans="1:25" x14ac:dyDescent="0.25">
      <c r="A973" s="1096"/>
      <c r="B973" s="1455">
        <v>723</v>
      </c>
      <c r="C973" s="1100">
        <v>0.99118095583611376</v>
      </c>
      <c r="D973" s="1100">
        <v>1.0277912722927067</v>
      </c>
      <c r="E973" s="1100">
        <v>0.98575081065640424</v>
      </c>
      <c r="F973" s="1100">
        <v>1.0219427026081664</v>
      </c>
      <c r="G973" s="1100">
        <v>1.010269191201937</v>
      </c>
      <c r="H973" s="1100">
        <v>0.96488562370676523</v>
      </c>
      <c r="I973" s="1100">
        <v>1.0118281509799878</v>
      </c>
      <c r="K973">
        <v>1.3345648082670458</v>
      </c>
      <c r="L973">
        <v>0</v>
      </c>
      <c r="M973">
        <v>5.9603623030224514E-4</v>
      </c>
      <c r="N973">
        <v>5.249157843329226E-2</v>
      </c>
      <c r="O973">
        <v>7.7421245840535178E-3</v>
      </c>
      <c r="P973">
        <v>1.6378864685222164E-2</v>
      </c>
      <c r="Q973">
        <v>4.4185073118961291E-4</v>
      </c>
      <c r="R973">
        <v>5.9421342349419632E-4</v>
      </c>
      <c r="S973">
        <v>5.9834034905258612E-2</v>
      </c>
      <c r="T973">
        <v>1.0554685087385471</v>
      </c>
      <c r="U973">
        <v>0</v>
      </c>
      <c r="V973">
        <v>9.8420641915870702E-2</v>
      </c>
      <c r="W973">
        <v>3.4778341059110124E-2</v>
      </c>
      <c r="X973">
        <v>7.3934329649621043E-3</v>
      </c>
      <c r="Y973">
        <v>1.6172530563487923E-3</v>
      </c>
    </row>
    <row r="974" spans="1:25" x14ac:dyDescent="0.25">
      <c r="A974" s="1096"/>
      <c r="B974" s="1455">
        <v>724</v>
      </c>
      <c r="C974" s="1100">
        <v>0.998639537437228</v>
      </c>
      <c r="D974" s="1100">
        <v>0.95557328791551077</v>
      </c>
      <c r="E974" s="1100">
        <v>1.0147441897313123</v>
      </c>
      <c r="F974" s="1100">
        <v>1.0221784571880277</v>
      </c>
      <c r="G974" s="1100">
        <v>0.96818097814489079</v>
      </c>
      <c r="H974" s="1100">
        <v>1.0122182234312331</v>
      </c>
      <c r="I974" s="1100">
        <v>1.0040808113338024</v>
      </c>
      <c r="K974">
        <v>1.3440223534591089</v>
      </c>
      <c r="L974">
        <v>0</v>
      </c>
      <c r="M974">
        <v>6.0166083977171989E-4</v>
      </c>
      <c r="N974">
        <v>5.784588433822576E-2</v>
      </c>
      <c r="O974">
        <v>7.9187921153664118E-3</v>
      </c>
      <c r="P974">
        <v>1.6738875777793986E-2</v>
      </c>
      <c r="Q974">
        <v>4.6529642145687377E-4</v>
      </c>
      <c r="R974">
        <v>5.9990687279608474E-4</v>
      </c>
      <c r="S974">
        <v>6.2801852473396133E-2</v>
      </c>
      <c r="T974">
        <v>1.0548300765352097</v>
      </c>
      <c r="U974">
        <v>0</v>
      </c>
      <c r="V974">
        <v>9.6230111394316184E-2</v>
      </c>
      <c r="W974">
        <v>3.767117410473126E-2</v>
      </c>
      <c r="X974">
        <v>7.8892955170832973E-3</v>
      </c>
      <c r="Y974">
        <v>1.6327487485034745E-3</v>
      </c>
    </row>
    <row r="975" spans="1:25" x14ac:dyDescent="0.25">
      <c r="A975" s="1096"/>
      <c r="B975" s="1455">
        <v>725</v>
      </c>
      <c r="C975" s="1100">
        <v>1.0111465199094443</v>
      </c>
      <c r="D975" s="1100">
        <v>1.0208242223212833</v>
      </c>
      <c r="E975" s="1100">
        <v>0.99647182599637507</v>
      </c>
      <c r="F975" s="1100">
        <v>1.0488549250047421</v>
      </c>
      <c r="G975" s="1100">
        <v>1.0073201290079736</v>
      </c>
      <c r="H975" s="1100">
        <v>1.0143821967427118</v>
      </c>
      <c r="I975" s="1100">
        <v>1.0006111740033492</v>
      </c>
      <c r="K975">
        <v>1.3655375103307976</v>
      </c>
      <c r="L975">
        <v>0</v>
      </c>
      <c r="M975">
        <v>6.0238501440001036E-4</v>
      </c>
      <c r="N975">
        <v>5.480653407216312E-2</v>
      </c>
      <c r="O975">
        <v>7.6125065800083597E-3</v>
      </c>
      <c r="P975">
        <v>1.6874754236697959E-2</v>
      </c>
      <c r="Q975">
        <v>4.3918390447102087E-4</v>
      </c>
      <c r="R975">
        <v>6.0063268253128131E-4</v>
      </c>
      <c r="S975">
        <v>5.9708374640573124E-2</v>
      </c>
      <c r="T975">
        <v>1.0829259274475489</v>
      </c>
      <c r="U975">
        <v>0</v>
      </c>
      <c r="V975">
        <v>9.7796296190999332E-2</v>
      </c>
      <c r="W975">
        <v>3.6079850953374064E-2</v>
      </c>
      <c r="X975">
        <v>7.6611104734917983E-3</v>
      </c>
      <c r="Y975">
        <v>1.6347241633395651E-3</v>
      </c>
    </row>
    <row r="976" spans="1:25" x14ac:dyDescent="0.25">
      <c r="A976" s="1096"/>
      <c r="B976" s="1455">
        <v>726</v>
      </c>
      <c r="C976" s="1100">
        <v>1.0438749468902961</v>
      </c>
      <c r="D976" s="1100">
        <v>1.0075247261903093</v>
      </c>
      <c r="E976" s="1100">
        <v>1.0049312122335625</v>
      </c>
      <c r="F976" s="1100">
        <v>1.0284507843292221</v>
      </c>
      <c r="G976" s="1100">
        <v>0.99629342744046012</v>
      </c>
      <c r="H976" s="1100">
        <v>0.99988751099944584</v>
      </c>
      <c r="I976" s="1100">
        <v>0.98184146867392152</v>
      </c>
      <c r="K976">
        <v>1.336234258410967</v>
      </c>
      <c r="L976">
        <v>0</v>
      </c>
      <c r="M976">
        <v>5.6812755923790043E-4</v>
      </c>
      <c r="N976">
        <v>5.3025483037209546E-2</v>
      </c>
      <c r="O976">
        <v>7.414597782888244E-3</v>
      </c>
      <c r="P976">
        <v>1.663128539366374E-2</v>
      </c>
      <c r="Q976">
        <v>4.3141753733917811E-4</v>
      </c>
      <c r="R976">
        <v>5.6645092422436189E-4</v>
      </c>
      <c r="S976">
        <v>5.6743680518691858E-2</v>
      </c>
      <c r="T976">
        <v>1.0616002021649167</v>
      </c>
      <c r="U976">
        <v>0</v>
      </c>
      <c r="V976">
        <v>9.6503757036698806E-2</v>
      </c>
      <c r="W976">
        <v>3.4732391652497911E-2</v>
      </c>
      <c r="X976">
        <v>7.6114272368320839E-3</v>
      </c>
      <c r="Y976">
        <v>1.5416926852417274E-3</v>
      </c>
    </row>
    <row r="977" spans="1:25" x14ac:dyDescent="0.25">
      <c r="A977" s="1096"/>
      <c r="B977" s="1455">
        <v>727</v>
      </c>
      <c r="C977" s="1100">
        <v>0.96591648197505509</v>
      </c>
      <c r="D977" s="1100">
        <v>0.96923257539535324</v>
      </c>
      <c r="E977" s="1100">
        <v>1.0043875303075802</v>
      </c>
      <c r="F977" s="1100">
        <v>1.0281968616071504</v>
      </c>
      <c r="G977" s="1100">
        <v>1.0101489768329825</v>
      </c>
      <c r="H977" s="1100">
        <v>1.0079137148920527</v>
      </c>
      <c r="I977" s="1100">
        <v>1.0038123022122312</v>
      </c>
      <c r="K977">
        <v>1.3566853452808578</v>
      </c>
      <c r="L977">
        <v>0</v>
      </c>
      <c r="M977">
        <v>6.2928616591573347E-4</v>
      </c>
      <c r="N977">
        <v>5.8638665454951527E-2</v>
      </c>
      <c r="O977">
        <v>8.138045386243617E-3</v>
      </c>
      <c r="P977">
        <v>1.6759666628284348E-2</v>
      </c>
      <c r="Q977">
        <v>4.7325321823405309E-4</v>
      </c>
      <c r="R977">
        <v>6.2744383072377958E-4</v>
      </c>
      <c r="S977">
        <v>6.4270461932075015E-2</v>
      </c>
      <c r="T977">
        <v>1.0613546563935803</v>
      </c>
      <c r="U977">
        <v>0</v>
      </c>
      <c r="V977">
        <v>9.9089742148678023E-2</v>
      </c>
      <c r="W977">
        <v>3.8421468020878619E-2</v>
      </c>
      <c r="X977">
        <v>7.8335331626973505E-3</v>
      </c>
      <c r="Y977">
        <v>1.7076952704269189E-3</v>
      </c>
    </row>
    <row r="978" spans="1:25" x14ac:dyDescent="0.25">
      <c r="A978" s="1096"/>
      <c r="B978" s="1455">
        <v>728</v>
      </c>
      <c r="C978" s="1100">
        <v>1.0215249659089474</v>
      </c>
      <c r="D978" s="1100">
        <v>0.96881483784499045</v>
      </c>
      <c r="E978" s="1100">
        <v>0.97538308304038379</v>
      </c>
      <c r="F978" s="1100">
        <v>0.98763110525861597</v>
      </c>
      <c r="G978" s="1100">
        <v>0.96485106697013845</v>
      </c>
      <c r="H978" s="1100">
        <v>1.0240979918096353</v>
      </c>
      <c r="I978" s="1100">
        <v>1.0126253355212635</v>
      </c>
      <c r="K978">
        <v>1.3016622599014527</v>
      </c>
      <c r="L978">
        <v>0</v>
      </c>
      <c r="M978">
        <v>6.4212458951249188E-4</v>
      </c>
      <c r="N978">
        <v>5.4813859788720831E-2</v>
      </c>
      <c r="O978">
        <v>7.6893164812923452E-3</v>
      </c>
      <c r="P978">
        <v>1.5766797914211476E-2</v>
      </c>
      <c r="Q978">
        <v>4.3423828603249639E-4</v>
      </c>
      <c r="R978">
        <v>6.4027437703709895E-4</v>
      </c>
      <c r="S978">
        <v>6.1786827359981068E-2</v>
      </c>
      <c r="T978">
        <v>1.0203420122807494</v>
      </c>
      <c r="U978">
        <v>0</v>
      </c>
      <c r="V978">
        <v>9.5469839021620373E-2</v>
      </c>
      <c r="W978">
        <v>3.6544936019303906E-2</v>
      </c>
      <c r="X978">
        <v>7.0736671741131081E-3</v>
      </c>
      <c r="Y978">
        <v>1.7426157879033184E-3</v>
      </c>
    </row>
    <row r="979" spans="1:25" x14ac:dyDescent="0.25">
      <c r="A979" s="1096"/>
      <c r="B979" s="1455">
        <v>729</v>
      </c>
      <c r="C979" s="1100">
        <v>1.0079730500304527</v>
      </c>
      <c r="D979" s="1100">
        <v>1.0282746048332538</v>
      </c>
      <c r="E979" s="1100">
        <v>1.0004584494834243</v>
      </c>
      <c r="F979" s="1100">
        <v>0.98921140848612032</v>
      </c>
      <c r="G979" s="1100">
        <v>1.0245391837627364</v>
      </c>
      <c r="H979" s="1100">
        <v>1.037331099995517</v>
      </c>
      <c r="I979" s="1100">
        <v>1.0251045023625034</v>
      </c>
      <c r="K979">
        <v>1.3082965843688885</v>
      </c>
      <c r="L979">
        <v>0</v>
      </c>
      <c r="M979">
        <v>6.1108457404535316E-4</v>
      </c>
      <c r="N979">
        <v>5.62754474754961E-2</v>
      </c>
      <c r="O979">
        <v>7.6152530492810773E-3</v>
      </c>
      <c r="P979">
        <v>1.6124791388600068E-2</v>
      </c>
      <c r="Q979">
        <v>4.4110795413395982E-4</v>
      </c>
      <c r="R979">
        <v>6.0934626199624488E-4</v>
      </c>
      <c r="S979">
        <v>6.1833100639958012E-2</v>
      </c>
      <c r="T979">
        <v>1.0212273885578464</v>
      </c>
      <c r="U979">
        <v>0</v>
      </c>
      <c r="V979">
        <v>9.8710906463865947E-2</v>
      </c>
      <c r="W979">
        <v>3.6959073379785025E-2</v>
      </c>
      <c r="X979">
        <v>7.4528141177582531E-3</v>
      </c>
      <c r="Y979">
        <v>1.6584396542124972E-3</v>
      </c>
    </row>
    <row r="980" spans="1:25" x14ac:dyDescent="0.25">
      <c r="A980" s="1096"/>
      <c r="B980" s="1455">
        <v>730</v>
      </c>
      <c r="C980" s="1100">
        <v>0.97079636704877836</v>
      </c>
      <c r="D980" s="1100">
        <v>0.97047797226341903</v>
      </c>
      <c r="E980" s="1100">
        <v>0.98444520781597056</v>
      </c>
      <c r="F980" s="1100">
        <v>1.0205732343278853</v>
      </c>
      <c r="G980" s="1100">
        <v>0.99602343547116867</v>
      </c>
      <c r="H980" s="1100">
        <v>1.0265620886838593</v>
      </c>
      <c r="I980" s="1100">
        <v>1.0136222955843825</v>
      </c>
      <c r="K980">
        <v>1.3486295693283712</v>
      </c>
      <c r="L980">
        <v>0</v>
      </c>
      <c r="M980">
        <v>6.64275091852329E-4</v>
      </c>
      <c r="N980">
        <v>5.8281406043422947E-2</v>
      </c>
      <c r="O980">
        <v>8.0878811657797769E-3</v>
      </c>
      <c r="P980">
        <v>1.6413092046838305E-2</v>
      </c>
      <c r="Q980">
        <v>4.6097301347025626E-4</v>
      </c>
      <c r="R980">
        <v>6.6236564943969174E-4</v>
      </c>
      <c r="S980">
        <v>6.5108689021013605E-2</v>
      </c>
      <c r="T980">
        <v>1.0540943675890486</v>
      </c>
      <c r="U980">
        <v>0</v>
      </c>
      <c r="V980">
        <v>9.8254975104113906E-2</v>
      </c>
      <c r="W980">
        <v>3.8644727390728544E-2</v>
      </c>
      <c r="X980">
        <v>7.4826264473711436E-3</v>
      </c>
      <c r="Y980">
        <v>1.8027409489971855E-3</v>
      </c>
    </row>
    <row r="981" spans="1:25" x14ac:dyDescent="0.25">
      <c r="A981" s="1096"/>
      <c r="B981" s="1455">
        <v>731</v>
      </c>
      <c r="C981" s="1100">
        <v>1.0353890687066094</v>
      </c>
      <c r="D981" s="1100">
        <v>0.98487957599862819</v>
      </c>
      <c r="E981" s="1100">
        <v>1.0052310763804373</v>
      </c>
      <c r="F981" s="1100">
        <v>0.98313942434294954</v>
      </c>
      <c r="G981" s="1100">
        <v>1.0094729064987265</v>
      </c>
      <c r="H981" s="1100">
        <v>0.99376924811670819</v>
      </c>
      <c r="I981" s="1100">
        <v>0.97506546763640534</v>
      </c>
      <c r="K981">
        <v>1.2912295835949861</v>
      </c>
      <c r="L981">
        <v>0</v>
      </c>
      <c r="M981">
        <v>5.741215523394625E-4</v>
      </c>
      <c r="N981">
        <v>5.3632496965030911E-2</v>
      </c>
      <c r="O981">
        <v>7.5437215565762467E-3</v>
      </c>
      <c r="P981">
        <v>1.6013960465125744E-2</v>
      </c>
      <c r="Q981">
        <v>4.3906253935261508E-4</v>
      </c>
      <c r="R981">
        <v>5.7241679678048834E-4</v>
      </c>
      <c r="S981">
        <v>5.7334269577084963E-2</v>
      </c>
      <c r="T981">
        <v>1.0148196187539646</v>
      </c>
      <c r="U981">
        <v>0</v>
      </c>
      <c r="V981">
        <v>9.7336286825663004E-2</v>
      </c>
      <c r="W981">
        <v>3.5123758431026886E-2</v>
      </c>
      <c r="X981">
        <v>7.4301834130284447E-3</v>
      </c>
      <c r="Y981">
        <v>1.5579298236901437E-3</v>
      </c>
    </row>
    <row r="982" spans="1:25" x14ac:dyDescent="0.25">
      <c r="A982" s="1096"/>
      <c r="B982" s="1455">
        <v>732</v>
      </c>
      <c r="C982" s="1100">
        <v>0.98298726412622472</v>
      </c>
      <c r="D982" s="1100">
        <v>0.99731663001970383</v>
      </c>
      <c r="E982" s="1100">
        <v>0.97609492872718917</v>
      </c>
      <c r="F982" s="1100">
        <v>1.017462547419246</v>
      </c>
      <c r="G982" s="1100">
        <v>0.97477564293861352</v>
      </c>
      <c r="H982" s="1100">
        <v>1.006740856240532</v>
      </c>
      <c r="I982" s="1100">
        <v>0.97659160721338079</v>
      </c>
      <c r="K982">
        <v>1.3343415662546694</v>
      </c>
      <c r="L982">
        <v>0</v>
      </c>
      <c r="M982">
        <v>6.4747177600313561E-4</v>
      </c>
      <c r="N982">
        <v>5.5386760635031861E-2</v>
      </c>
      <c r="O982">
        <v>7.8988099550493657E-3</v>
      </c>
      <c r="P982">
        <v>1.6189092563316996E-2</v>
      </c>
      <c r="Q982">
        <v>4.4639262083476483E-4</v>
      </c>
      <c r="R982">
        <v>6.4557399119244375E-4</v>
      </c>
      <c r="S982">
        <v>6.0444560127015601E-2</v>
      </c>
      <c r="T982">
        <v>1.051139405305078</v>
      </c>
      <c r="U982">
        <v>0</v>
      </c>
      <c r="V982">
        <v>9.690142290640627E-2</v>
      </c>
      <c r="W982">
        <v>3.6910972073312155E-2</v>
      </c>
      <c r="X982">
        <v>7.2690082628186067E-3</v>
      </c>
      <c r="Y982">
        <v>1.7570395906168304E-3</v>
      </c>
    </row>
    <row r="983" spans="1:25" x14ac:dyDescent="0.25">
      <c r="A983" s="1096"/>
      <c r="B983" s="1455">
        <v>733</v>
      </c>
      <c r="C983" s="1100">
        <v>0.97504841300247325</v>
      </c>
      <c r="D983" s="1100">
        <v>1.008122049064879</v>
      </c>
      <c r="E983" s="1100">
        <v>1.0387876833066578</v>
      </c>
      <c r="F983" s="1100">
        <v>0.98637364236368574</v>
      </c>
      <c r="G983" s="1100">
        <v>1.0078373308820643</v>
      </c>
      <c r="H983" s="1100">
        <v>1.0336624911234362</v>
      </c>
      <c r="I983" s="1100">
        <v>0.96424538890534217</v>
      </c>
      <c r="K983">
        <v>1.3107547235930235</v>
      </c>
      <c r="L983">
        <v>0</v>
      </c>
      <c r="M983">
        <v>5.8585632620146595E-4</v>
      </c>
      <c r="N983">
        <v>6.0565275146217658E-2</v>
      </c>
      <c r="O983">
        <v>7.9446205479666351E-3</v>
      </c>
      <c r="P983">
        <v>1.6512672110686945E-2</v>
      </c>
      <c r="Q983">
        <v>4.7806428482307815E-4</v>
      </c>
      <c r="R983">
        <v>5.8418386448594133E-4</v>
      </c>
      <c r="S983">
        <v>6.0691332107599562E-2</v>
      </c>
      <c r="T983">
        <v>1.0171944688732997</v>
      </c>
      <c r="U983">
        <v>0</v>
      </c>
      <c r="V983">
        <v>9.8776751379897859E-2</v>
      </c>
      <c r="W983">
        <v>3.8894085465572145E-2</v>
      </c>
      <c r="X983">
        <v>8.1091702357020297E-3</v>
      </c>
      <c r="Y983">
        <v>1.5899559029715603E-3</v>
      </c>
    </row>
    <row r="984" spans="1:25" x14ac:dyDescent="0.25">
      <c r="A984" s="1096"/>
      <c r="B984" s="1455">
        <v>734</v>
      </c>
      <c r="C984" s="1100">
        <v>0.96839414626777731</v>
      </c>
      <c r="D984" s="1100">
        <v>0.99148829332091493</v>
      </c>
      <c r="E984" s="1100">
        <v>1.0160983822867695</v>
      </c>
      <c r="F984" s="1100">
        <v>1.0383772038334782</v>
      </c>
      <c r="G984" s="1100">
        <v>1.0112662081383912</v>
      </c>
      <c r="H984" s="1100">
        <v>1.021197286508797</v>
      </c>
      <c r="I984" s="1100">
        <v>0.98734645864834625</v>
      </c>
      <c r="K984">
        <v>1.3665833590288881</v>
      </c>
      <c r="L984">
        <v>0</v>
      </c>
      <c r="M984">
        <v>6.1505164163804004E-4</v>
      </c>
      <c r="N984">
        <v>5.9377004987388446E-2</v>
      </c>
      <c r="O984">
        <v>8.0468284242929157E-3</v>
      </c>
      <c r="P984">
        <v>1.7024079448192436E-2</v>
      </c>
      <c r="Q984">
        <v>4.7345822157325942E-4</v>
      </c>
      <c r="R984">
        <v>6.1327440299271876E-4</v>
      </c>
      <c r="S984">
        <v>6.2718165241576321E-2</v>
      </c>
      <c r="T984">
        <v>1.0715050525770002</v>
      </c>
      <c r="U984">
        <v>0</v>
      </c>
      <c r="V984">
        <v>9.9091459346169683E-2</v>
      </c>
      <c r="W984">
        <v>3.8637556841013096E-2</v>
      </c>
      <c r="X984">
        <v>8.0424004212320491E-3</v>
      </c>
      <c r="Y984">
        <v>1.6691307590935675E-3</v>
      </c>
    </row>
    <row r="985" spans="1:25" x14ac:dyDescent="0.25">
      <c r="A985" s="1096"/>
      <c r="B985" s="1455">
        <v>735</v>
      </c>
      <c r="C985" s="1100">
        <v>1.0237404457579917</v>
      </c>
      <c r="D985" s="1100">
        <v>1.0133775854732223</v>
      </c>
      <c r="E985" s="1100">
        <v>0.99574206494117434</v>
      </c>
      <c r="F985" s="1100">
        <v>0.97936821308478827</v>
      </c>
      <c r="G985" s="1100">
        <v>0.98806314950429808</v>
      </c>
      <c r="H985" s="1100">
        <v>1.043149148852939</v>
      </c>
      <c r="I985" s="1100">
        <v>0.96992975793969916</v>
      </c>
      <c r="K985">
        <v>1.2913136230835591</v>
      </c>
      <c r="L985">
        <v>0</v>
      </c>
      <c r="M985">
        <v>6.1457099837980325E-4</v>
      </c>
      <c r="N985">
        <v>5.5796555550117352E-2</v>
      </c>
      <c r="O985">
        <v>7.5407364371440607E-3</v>
      </c>
      <c r="P985">
        <v>1.5853356642949179E-2</v>
      </c>
      <c r="Q985">
        <v>4.3472361832017537E-4</v>
      </c>
      <c r="R985">
        <v>6.1283251928624021E-4</v>
      </c>
      <c r="S985">
        <v>5.8216942668252829E-2</v>
      </c>
      <c r="T985">
        <v>1.0112033654485257</v>
      </c>
      <c r="U985">
        <v>0</v>
      </c>
      <c r="V985">
        <v>9.6562423917445739E-2</v>
      </c>
      <c r="W985">
        <v>3.6747579042395083E-2</v>
      </c>
      <c r="X985">
        <v>7.2917501401908932E-3</v>
      </c>
      <c r="Y985">
        <v>1.6679280973114572E-3</v>
      </c>
    </row>
    <row r="986" spans="1:25" x14ac:dyDescent="0.25">
      <c r="A986" s="1096"/>
      <c r="B986" s="1455">
        <v>736</v>
      </c>
      <c r="C986" s="1100">
        <v>1.0131172680116958</v>
      </c>
      <c r="D986" s="1100">
        <v>0.986644193605693</v>
      </c>
      <c r="E986" s="1100">
        <v>1.0006859429117569</v>
      </c>
      <c r="F986" s="1100">
        <v>1.0181971415806248</v>
      </c>
      <c r="G986" s="1100">
        <v>0.99774236513241954</v>
      </c>
      <c r="H986" s="1100">
        <v>0.9902197449031197</v>
      </c>
      <c r="I986" s="1100">
        <v>0.99350217882197756</v>
      </c>
      <c r="K986">
        <v>1.331811282810389</v>
      </c>
      <c r="L986">
        <v>0</v>
      </c>
      <c r="M986">
        <v>5.8976523340115888E-4</v>
      </c>
      <c r="N986">
        <v>5.4342089857307527E-2</v>
      </c>
      <c r="O986">
        <v>7.7029323761297923E-3</v>
      </c>
      <c r="P986">
        <v>1.6484978764726856E-2</v>
      </c>
      <c r="Q986">
        <v>4.4628872452303633E-4</v>
      </c>
      <c r="R986">
        <v>5.8800774930442806E-4</v>
      </c>
      <c r="S986">
        <v>5.9533974605662482E-2</v>
      </c>
      <c r="T986">
        <v>1.0511443587497353</v>
      </c>
      <c r="U986">
        <v>0</v>
      </c>
      <c r="V986">
        <v>9.7289965286653124E-2</v>
      </c>
      <c r="W986">
        <v>3.5684511775312212E-2</v>
      </c>
      <c r="X986">
        <v>7.5835768975307839E-3</v>
      </c>
      <c r="Y986">
        <v>1.6003632569041898E-3</v>
      </c>
    </row>
    <row r="987" spans="1:25" x14ac:dyDescent="0.25">
      <c r="A987" s="1096"/>
      <c r="B987" s="1455">
        <v>737</v>
      </c>
      <c r="C987" s="1100">
        <v>1.0064065091370407</v>
      </c>
      <c r="D987" s="1100">
        <v>1.0407719185814759</v>
      </c>
      <c r="E987" s="1100">
        <v>1.0195197595996324</v>
      </c>
      <c r="F987" s="1100">
        <v>0.98923640600085361</v>
      </c>
      <c r="G987" s="1100">
        <v>0.9992381435590868</v>
      </c>
      <c r="H987" s="1100">
        <v>0.98288453415153776</v>
      </c>
      <c r="I987" s="1100">
        <v>1.0218659794947849</v>
      </c>
      <c r="K987">
        <v>1.3007083061213252</v>
      </c>
      <c r="L987">
        <v>0</v>
      </c>
      <c r="M987">
        <v>5.5470918427353026E-4</v>
      </c>
      <c r="N987">
        <v>5.4101127458248424E-2</v>
      </c>
      <c r="O987">
        <v>7.5949227916088137E-3</v>
      </c>
      <c r="P987">
        <v>1.6300616667848211E-2</v>
      </c>
      <c r="Q987">
        <v>4.4839344146859053E-4</v>
      </c>
      <c r="R987">
        <v>5.530438298558285E-4</v>
      </c>
      <c r="S987">
        <v>5.9694653389998818E-2</v>
      </c>
      <c r="T987">
        <v>1.0206975419132214</v>
      </c>
      <c r="U987">
        <v>0</v>
      </c>
      <c r="V987">
        <v>9.7546490939531147E-2</v>
      </c>
      <c r="W987">
        <v>3.5133940687924088E-2</v>
      </c>
      <c r="X987">
        <v>7.6870811918749414E-3</v>
      </c>
      <c r="Y987">
        <v>1.5052029940180504E-3</v>
      </c>
    </row>
    <row r="988" spans="1:25" x14ac:dyDescent="0.25">
      <c r="A988" s="1096"/>
      <c r="B988" s="1455">
        <v>738</v>
      </c>
      <c r="C988" s="1100">
        <v>0.99651945891323901</v>
      </c>
      <c r="D988" s="1100">
        <v>0.99069846925301708</v>
      </c>
      <c r="E988" s="1100">
        <v>1.0266183655239447</v>
      </c>
      <c r="F988" s="1100">
        <v>1.0051262955865843</v>
      </c>
      <c r="G988" s="1100">
        <v>1.0183007213337942</v>
      </c>
      <c r="H988" s="1100">
        <v>1.0131929278173093</v>
      </c>
      <c r="I988" s="1100">
        <v>1.044356565109855</v>
      </c>
      <c r="K988">
        <v>1.3296233303961522</v>
      </c>
      <c r="L988">
        <v>0</v>
      </c>
      <c r="M988">
        <v>5.8035119436966826E-4</v>
      </c>
      <c r="N988">
        <v>5.7832140430699515E-2</v>
      </c>
      <c r="O988">
        <v>7.8248210564407696E-3</v>
      </c>
      <c r="P988">
        <v>1.6690293749642902E-2</v>
      </c>
      <c r="Q988">
        <v>4.6523241545338566E-4</v>
      </c>
      <c r="R988">
        <v>5.7866097703602602E-4</v>
      </c>
      <c r="S988">
        <v>6.4248476707448446E-2</v>
      </c>
      <c r="T988">
        <v>1.0368852982843941</v>
      </c>
      <c r="U988">
        <v>0</v>
      </c>
      <c r="V988">
        <v>9.8721242938213966E-2</v>
      </c>
      <c r="W988">
        <v>3.7401627938086809E-2</v>
      </c>
      <c r="X988">
        <v>7.9809626691512859E-3</v>
      </c>
      <c r="Y988">
        <v>1.5749244239522502E-3</v>
      </c>
    </row>
    <row r="989" spans="1:25" x14ac:dyDescent="0.25">
      <c r="A989" s="1096"/>
      <c r="B989" s="1455">
        <v>739</v>
      </c>
      <c r="C989" s="1100">
        <v>0.98731785843135333</v>
      </c>
      <c r="D989" s="1100">
        <v>1.008364926031313</v>
      </c>
      <c r="E989" s="1100">
        <v>1.0183690135595986</v>
      </c>
      <c r="F989" s="1100">
        <v>1.0028665168765993</v>
      </c>
      <c r="G989" s="1100">
        <v>1.023910901361587</v>
      </c>
      <c r="H989" s="1100">
        <v>0.98871453747331084</v>
      </c>
      <c r="I989" s="1100">
        <v>1.0003231031128608</v>
      </c>
      <c r="K989">
        <v>1.3215728635098412</v>
      </c>
      <c r="L989">
        <v>0</v>
      </c>
      <c r="M989">
        <v>5.7741096284404179E-4</v>
      </c>
      <c r="N989">
        <v>5.6121064899456771E-2</v>
      </c>
      <c r="O989">
        <v>7.8400548324637862E-3</v>
      </c>
      <c r="P989">
        <v>1.6519651462403015E-2</v>
      </c>
      <c r="Q989">
        <v>4.6233616218210958E-4</v>
      </c>
      <c r="R989">
        <v>5.7568767460625689E-4</v>
      </c>
      <c r="S989">
        <v>6.0764794519425486E-2</v>
      </c>
      <c r="T989">
        <v>1.0347948380754275</v>
      </c>
      <c r="U989">
        <v>0</v>
      </c>
      <c r="V989">
        <v>9.9215177409668134E-2</v>
      </c>
      <c r="W989">
        <v>3.6470278660266774E-2</v>
      </c>
      <c r="X989">
        <v>7.81955870189752E-3</v>
      </c>
      <c r="Y989">
        <v>1.5668320748873003E-3</v>
      </c>
    </row>
    <row r="990" spans="1:25" x14ac:dyDescent="0.25">
      <c r="A990" s="1096"/>
      <c r="B990" s="1455">
        <v>740</v>
      </c>
      <c r="C990" s="1100">
        <v>1.003265954192287</v>
      </c>
      <c r="D990" s="1100">
        <v>1.0183687991620023</v>
      </c>
      <c r="E990" s="1100">
        <v>1.0325226739866209</v>
      </c>
      <c r="F990" s="1100">
        <v>0.98773161837999579</v>
      </c>
      <c r="G990" s="1100">
        <v>1.0146736401538017</v>
      </c>
      <c r="H990" s="1100">
        <v>0.98064682738218711</v>
      </c>
      <c r="I990" s="1100">
        <v>1.0004388498857966</v>
      </c>
      <c r="K990">
        <v>1.3012934685256812</v>
      </c>
      <c r="L990">
        <v>0</v>
      </c>
      <c r="M990">
        <v>5.4507056288820755E-4</v>
      </c>
      <c r="N990">
        <v>5.5286518986190337E-2</v>
      </c>
      <c r="O990">
        <v>7.6884725098191557E-3</v>
      </c>
      <c r="P990">
        <v>1.6434614881687744E-2</v>
      </c>
      <c r="Q990">
        <v>4.5980261477381008E-4</v>
      </c>
      <c r="R990">
        <v>5.434304115642714E-4</v>
      </c>
      <c r="S990">
        <v>5.925935983944481E-2</v>
      </c>
      <c r="T990">
        <v>1.0187725298901522</v>
      </c>
      <c r="U990">
        <v>0</v>
      </c>
      <c r="V990">
        <v>9.8385123996947738E-2</v>
      </c>
      <c r="W990">
        <v>3.563292892175083E-2</v>
      </c>
      <c r="X990">
        <v>7.8967185977468247E-3</v>
      </c>
      <c r="Y990">
        <v>1.4790384384909202E-3</v>
      </c>
    </row>
    <row r="991" spans="1:25" x14ac:dyDescent="0.25">
      <c r="A991" s="1096"/>
      <c r="B991" s="1455">
        <v>741</v>
      </c>
      <c r="C991" s="1100">
        <v>1.014671331639188</v>
      </c>
      <c r="D991" s="1100">
        <v>1.0315380236894807</v>
      </c>
      <c r="E991" s="1100">
        <v>0.99493933236319465</v>
      </c>
      <c r="F991" s="1100">
        <v>0.99238861424806257</v>
      </c>
      <c r="G991" s="1100">
        <v>1.0354363174085384</v>
      </c>
      <c r="H991" s="1100">
        <v>1.0023714538099644</v>
      </c>
      <c r="I991" s="1100">
        <v>0.98879728645498721</v>
      </c>
      <c r="K991">
        <v>1.3038818779468502</v>
      </c>
      <c r="L991">
        <v>0</v>
      </c>
      <c r="M991">
        <v>5.9259210594125335E-4</v>
      </c>
      <c r="N991">
        <v>5.3664544016720481E-2</v>
      </c>
      <c r="O991">
        <v>7.5540809686361629E-3</v>
      </c>
      <c r="P991">
        <v>1.6059533809535991E-2</v>
      </c>
      <c r="Q991">
        <v>4.3514077047044768E-4</v>
      </c>
      <c r="R991">
        <v>5.9084760587548783E-4</v>
      </c>
      <c r="S991">
        <v>5.8116770277604007E-2</v>
      </c>
      <c r="T991">
        <v>1.0246708274578171</v>
      </c>
      <c r="U991">
        <v>0</v>
      </c>
      <c r="V991">
        <v>9.9069584172617367E-2</v>
      </c>
      <c r="W991">
        <v>3.536036607415826E-2</v>
      </c>
      <c r="X991">
        <v>7.3446824890222506E-3</v>
      </c>
      <c r="Y991">
        <v>1.6080924103321474E-3</v>
      </c>
    </row>
    <row r="992" spans="1:25" x14ac:dyDescent="0.25">
      <c r="A992" s="1096"/>
      <c r="B992" s="1455">
        <v>742</v>
      </c>
      <c r="C992" s="1100">
        <v>1.0013234816388457</v>
      </c>
      <c r="D992" s="1100">
        <v>1.0008582421640424</v>
      </c>
      <c r="E992" s="1100">
        <v>1.0322994288389518</v>
      </c>
      <c r="F992" s="1100">
        <v>1.0181349258724461</v>
      </c>
      <c r="G992" s="1100">
        <v>0.95703669206276676</v>
      </c>
      <c r="H992" s="1100">
        <v>1.0001852953325252</v>
      </c>
      <c r="I992" s="1100">
        <v>1.0149382184188529</v>
      </c>
      <c r="K992">
        <v>1.335413030649399</v>
      </c>
      <c r="L992">
        <v>0</v>
      </c>
      <c r="M992">
        <v>5.6114790919087451E-4</v>
      </c>
      <c r="N992">
        <v>5.6882313078207743E-2</v>
      </c>
      <c r="O992">
        <v>7.7569620699322059E-3</v>
      </c>
      <c r="P992">
        <v>1.68616887890824E-2</v>
      </c>
      <c r="Q992">
        <v>4.6379632952367201E-4</v>
      </c>
      <c r="R992">
        <v>5.594923652880088E-4</v>
      </c>
      <c r="S992">
        <v>6.1403508702032837E-2</v>
      </c>
      <c r="T992">
        <v>1.0501378528174981</v>
      </c>
      <c r="U992">
        <v>0</v>
      </c>
      <c r="V992">
        <v>9.564391467066756E-2</v>
      </c>
      <c r="W992">
        <v>3.6666182591211398E-2</v>
      </c>
      <c r="X992">
        <v>8.0757133634405797E-3</v>
      </c>
      <c r="Y992">
        <v>1.5227537817053109E-3</v>
      </c>
    </row>
    <row r="993" spans="1:25" x14ac:dyDescent="0.25">
      <c r="A993" s="1096"/>
      <c r="B993" s="1455">
        <v>743</v>
      </c>
      <c r="C993" s="1100">
        <v>0.98769214078922918</v>
      </c>
      <c r="D993" s="1100">
        <v>1.0244940837588685</v>
      </c>
      <c r="E993" s="1100">
        <v>0.99834621860921169</v>
      </c>
      <c r="F993" s="1100">
        <v>1.0319331920746391</v>
      </c>
      <c r="G993" s="1100">
        <v>1.0117611979154997</v>
      </c>
      <c r="H993" s="1100">
        <v>0.98589503101063736</v>
      </c>
      <c r="I993" s="1100">
        <v>1.0209231148842821</v>
      </c>
      <c r="K993">
        <v>1.3499558598635728</v>
      </c>
      <c r="L993">
        <v>0</v>
      </c>
      <c r="M993">
        <v>5.9618964954309911E-4</v>
      </c>
      <c r="N993">
        <v>5.4546369743936139E-2</v>
      </c>
      <c r="O993">
        <v>7.7825606729213506E-3</v>
      </c>
      <c r="P993">
        <v>1.6693027619512593E-2</v>
      </c>
      <c r="Q993">
        <v>4.4984270149893245E-4</v>
      </c>
      <c r="R993">
        <v>5.9440522752832452E-4</v>
      </c>
      <c r="S993">
        <v>6.1358964012568608E-2</v>
      </c>
      <c r="T993">
        <v>1.0653967865024023</v>
      </c>
      <c r="U993">
        <v>0</v>
      </c>
      <c r="V993">
        <v>9.8595231991225538E-2</v>
      </c>
      <c r="W993">
        <v>3.5868518371594625E-2</v>
      </c>
      <c r="X993">
        <v>7.6485675862247929E-3</v>
      </c>
      <c r="Y993">
        <v>1.6177750837015063E-3</v>
      </c>
    </row>
    <row r="994" spans="1:25" x14ac:dyDescent="0.25">
      <c r="A994" s="1096"/>
      <c r="B994" s="1455">
        <v>744</v>
      </c>
      <c r="C994" s="1100">
        <v>0.98493282741350974</v>
      </c>
      <c r="D994" s="1100">
        <v>1.0185171759115745</v>
      </c>
      <c r="E994" s="1100">
        <v>1.015543692909779</v>
      </c>
      <c r="F994" s="1100">
        <v>0.97754191209959984</v>
      </c>
      <c r="G994" s="1100">
        <v>1.0188135306060957</v>
      </c>
      <c r="H994" s="1100">
        <v>0.98450599127122285</v>
      </c>
      <c r="I994" s="1100">
        <v>0.99966840043468919</v>
      </c>
      <c r="K994">
        <v>1.293665206086829</v>
      </c>
      <c r="L994">
        <v>0</v>
      </c>
      <c r="M994">
        <v>5.7742348251039219E-4</v>
      </c>
      <c r="N994">
        <v>5.5645144967637797E-2</v>
      </c>
      <c r="O994">
        <v>7.8269100825927758E-3</v>
      </c>
      <c r="P994">
        <v>1.6118517944608821E-2</v>
      </c>
      <c r="Q994">
        <v>4.6026423164419823E-4</v>
      </c>
      <c r="R994">
        <v>5.7569279007028821E-4</v>
      </c>
      <c r="S994">
        <v>6.0413376840300931E-2</v>
      </c>
      <c r="T994">
        <v>1.008744787764724</v>
      </c>
      <c r="U994">
        <v>0</v>
      </c>
      <c r="V994">
        <v>9.9026144636745528E-2</v>
      </c>
      <c r="W994">
        <v>3.622096777711916E-2</v>
      </c>
      <c r="X994">
        <v>7.6439765364025788E-3</v>
      </c>
      <c r="Y994">
        <v>1.5668459974940813E-3</v>
      </c>
    </row>
    <row r="995" spans="1:25" x14ac:dyDescent="0.25">
      <c r="A995" s="1096"/>
      <c r="B995" s="1455">
        <v>745</v>
      </c>
      <c r="C995" s="1100">
        <v>1.0048063219599488</v>
      </c>
      <c r="D995" s="1100">
        <v>1.0087926170649981</v>
      </c>
      <c r="E995" s="1100">
        <v>1.0118212679086847</v>
      </c>
      <c r="F995" s="1100">
        <v>1.0360182371044619</v>
      </c>
      <c r="G995" s="1100">
        <v>0.96075918329917243</v>
      </c>
      <c r="H995" s="1100">
        <v>1.0103153520855452</v>
      </c>
      <c r="I995" s="1100">
        <v>0.9797460936636645</v>
      </c>
      <c r="K995">
        <v>1.3509672751937849</v>
      </c>
      <c r="L995">
        <v>0</v>
      </c>
      <c r="M995">
        <v>5.8760341422634411E-4</v>
      </c>
      <c r="N995">
        <v>5.5997832720220291E-2</v>
      </c>
      <c r="O995">
        <v>7.7006958549489073E-3</v>
      </c>
      <c r="P995">
        <v>1.6842530997557389E-2</v>
      </c>
      <c r="Q995">
        <v>4.5116363492343786E-4</v>
      </c>
      <c r="R995">
        <v>5.8588720126873442E-4</v>
      </c>
      <c r="S995">
        <v>5.910050722045139E-2</v>
      </c>
      <c r="T995">
        <v>1.0692008813986422</v>
      </c>
      <c r="U995">
        <v>0</v>
      </c>
      <c r="V995">
        <v>9.5715453517330643E-2</v>
      </c>
      <c r="W995">
        <v>3.6530407556288773E-2</v>
      </c>
      <c r="X995">
        <v>7.8349266821895139E-3</v>
      </c>
      <c r="Y995">
        <v>1.5945918241895042E-3</v>
      </c>
    </row>
    <row r="996" spans="1:25" x14ac:dyDescent="0.25">
      <c r="A996" s="1096"/>
      <c r="B996" s="1455">
        <v>746</v>
      </c>
      <c r="C996" s="1100">
        <v>1.0174971011018086</v>
      </c>
      <c r="D996" s="1100">
        <v>0.9916952359586334</v>
      </c>
      <c r="E996" s="1100">
        <v>0.98783226924022449</v>
      </c>
      <c r="F996" s="1100">
        <v>1.0049908209505618</v>
      </c>
      <c r="G996" s="1100">
        <v>1.0130013492355521</v>
      </c>
      <c r="H996" s="1100">
        <v>0.96774560158704381</v>
      </c>
      <c r="I996" s="1100">
        <v>1.0040890615530609</v>
      </c>
      <c r="K996">
        <v>1.3146298790639026</v>
      </c>
      <c r="L996">
        <v>0</v>
      </c>
      <c r="M996">
        <v>5.8818947848489421E-4</v>
      </c>
      <c r="N996">
        <v>5.2128099286790575E-2</v>
      </c>
      <c r="O996">
        <v>7.6510165889039326E-3</v>
      </c>
      <c r="P996">
        <v>1.614967219398477E-2</v>
      </c>
      <c r="Q996">
        <v>4.3757237161153549E-4</v>
      </c>
      <c r="R996">
        <v>5.8639598475039351E-4</v>
      </c>
      <c r="S996">
        <v>5.9053513937710099E-2</v>
      </c>
      <c r="T996">
        <v>1.0378974155102669</v>
      </c>
      <c r="U996">
        <v>0</v>
      </c>
      <c r="V996">
        <v>9.7908577614356992E-2</v>
      </c>
      <c r="W996">
        <v>3.4494369591193903E-2</v>
      </c>
      <c r="X996">
        <v>7.3154588977103543E-3</v>
      </c>
      <c r="Y996">
        <v>1.5959765651061501E-3</v>
      </c>
    </row>
    <row r="997" spans="1:25" x14ac:dyDescent="0.25">
      <c r="A997" s="1096"/>
      <c r="B997" s="1455">
        <v>747</v>
      </c>
      <c r="C997" s="1100">
        <v>1.0024727175210963</v>
      </c>
      <c r="D997" s="1100">
        <v>0.99117855476630479</v>
      </c>
      <c r="E997" s="1100">
        <v>0.99304264249105634</v>
      </c>
      <c r="F997" s="1100">
        <v>0.9701999076646135</v>
      </c>
      <c r="G997" s="1100">
        <v>0.98549157037016077</v>
      </c>
      <c r="H997" s="1100">
        <v>0.96579052445953617</v>
      </c>
      <c r="I997" s="1100">
        <v>0.99905622669875693</v>
      </c>
      <c r="K997">
        <v>1.2792282191931443</v>
      </c>
      <c r="L997">
        <v>0</v>
      </c>
      <c r="M997">
        <v>5.8952649695349273E-4</v>
      </c>
      <c r="N997">
        <v>5.3075806276954671E-2</v>
      </c>
      <c r="O997">
        <v>7.7685822889016192E-3</v>
      </c>
      <c r="P997">
        <v>1.5717945692496581E-2</v>
      </c>
      <c r="Q997">
        <v>4.4664159162810746E-4</v>
      </c>
      <c r="R997">
        <v>5.8772528754026025E-4</v>
      </c>
      <c r="S997">
        <v>5.9600191321873781E-2</v>
      </c>
      <c r="T997">
        <v>1.0018154290232424</v>
      </c>
      <c r="U997">
        <v>0</v>
      </c>
      <c r="V997">
        <v>9.6948579966088064E-2</v>
      </c>
      <c r="W997">
        <v>3.5012072085713622E-2</v>
      </c>
      <c r="X997">
        <v>7.2451776665614096E-3</v>
      </c>
      <c r="Y997">
        <v>1.5995944890956205E-3</v>
      </c>
    </row>
    <row r="998" spans="1:25" x14ac:dyDescent="0.25">
      <c r="A998" s="1096"/>
      <c r="B998" s="1455">
        <v>748</v>
      </c>
      <c r="C998" s="1100">
        <v>0.96662770840230794</v>
      </c>
      <c r="D998" s="1100">
        <v>0.97629341242794976</v>
      </c>
      <c r="E998" s="1100">
        <v>0.97113588923311689</v>
      </c>
      <c r="F998" s="1100">
        <v>0.99179406909227852</v>
      </c>
      <c r="G998" s="1100">
        <v>1.0197692689952331</v>
      </c>
      <c r="H998" s="1100">
        <v>1.0008337137185233</v>
      </c>
      <c r="I998" s="1100">
        <v>1.0048869953218742</v>
      </c>
      <c r="K998">
        <v>1.3151819651824117</v>
      </c>
      <c r="L998">
        <v>0</v>
      </c>
      <c r="M998">
        <v>6.6696585622221308E-4</v>
      </c>
      <c r="N998">
        <v>5.6203299755120957E-2</v>
      </c>
      <c r="O998">
        <v>8.0999720448968852E-3</v>
      </c>
      <c r="P998">
        <v>1.5855225448047145E-2</v>
      </c>
      <c r="Q998">
        <v>4.5545142432902802E-4</v>
      </c>
      <c r="R998">
        <v>6.6499939451554761E-4</v>
      </c>
      <c r="S998">
        <v>6.3780924940362735E-2</v>
      </c>
      <c r="T998">
        <v>1.0247716058024805</v>
      </c>
      <c r="U998">
        <v>0</v>
      </c>
      <c r="V998">
        <v>9.949869095729838E-2</v>
      </c>
      <c r="W998">
        <v>3.7568026254909674E-2</v>
      </c>
      <c r="X998">
        <v>7.1408258817932703E-3</v>
      </c>
      <c r="Y998">
        <v>1.8099091348798343E-3</v>
      </c>
    </row>
    <row r="999" spans="1:25" x14ac:dyDescent="0.25">
      <c r="A999" s="1096"/>
      <c r="B999" s="1455">
        <v>749</v>
      </c>
      <c r="C999" s="1100">
        <v>1.019584712661382</v>
      </c>
      <c r="D999" s="1100">
        <v>0.95617286166409443</v>
      </c>
      <c r="E999" s="1100">
        <v>0.98667801611074979</v>
      </c>
      <c r="F999" s="1100">
        <v>1.0161767883833732</v>
      </c>
      <c r="G999" s="1100">
        <v>0.97345426528385937</v>
      </c>
      <c r="H999" s="1100">
        <v>1.0077341271096363</v>
      </c>
      <c r="I999" s="1100">
        <v>1.0126041742529599</v>
      </c>
      <c r="K999">
        <v>1.3321187705098789</v>
      </c>
      <c r="L999">
        <v>0</v>
      </c>
      <c r="M999">
        <v>6.2170784763883986E-4</v>
      </c>
      <c r="N999">
        <v>5.4913330157437205E-2</v>
      </c>
      <c r="O999">
        <v>7.7472916748474998E-3</v>
      </c>
      <c r="P999">
        <v>1.6303281124742445E-2</v>
      </c>
      <c r="Q999">
        <v>4.4256106238710168E-4</v>
      </c>
      <c r="R999">
        <v>6.1988737480948126E-4</v>
      </c>
      <c r="S999">
        <v>6.1846516988325953E-2</v>
      </c>
      <c r="T999">
        <v>1.0494850055714651</v>
      </c>
      <c r="U999">
        <v>0</v>
      </c>
      <c r="V999">
        <v>9.5944442743557193E-2</v>
      </c>
      <c r="W999">
        <v>3.6362610829825753E-2</v>
      </c>
      <c r="X999">
        <v>7.3884217417044627E-3</v>
      </c>
      <c r="Y999">
        <v>1.6871290884132211E-3</v>
      </c>
    </row>
    <row r="1000" spans="1:25" x14ac:dyDescent="0.25">
      <c r="A1000" s="1096"/>
      <c r="B1000" s="1455">
        <v>750</v>
      </c>
      <c r="C1000" s="1100">
        <v>0.98339443189760256</v>
      </c>
      <c r="D1000" s="1100">
        <v>1.005819406496359</v>
      </c>
      <c r="E1000" s="1100">
        <v>1.0155301708166062</v>
      </c>
      <c r="F1000" s="1100">
        <v>0.97399780370517752</v>
      </c>
      <c r="G1000" s="1100">
        <v>1.0000159536885889</v>
      </c>
      <c r="H1000" s="1100">
        <v>1.0147077181602167</v>
      </c>
      <c r="I1000" s="1100">
        <v>0.99785522248884595</v>
      </c>
      <c r="K1000">
        <v>1.2939999339817168</v>
      </c>
      <c r="L1000">
        <v>0</v>
      </c>
      <c r="M1000">
        <v>5.9908363854336265E-4</v>
      </c>
      <c r="N1000">
        <v>5.7735300641907975E-2</v>
      </c>
      <c r="O1000">
        <v>7.8785875366297366E-3</v>
      </c>
      <c r="P1000">
        <v>1.6074211865846618E-2</v>
      </c>
      <c r="Q1000">
        <v>4.6329689928422465E-4</v>
      </c>
      <c r="R1000">
        <v>5.9734146941603126E-4</v>
      </c>
      <c r="S1000">
        <v>6.1740277674472634E-2</v>
      </c>
      <c r="T1000">
        <v>1.0050879383184965</v>
      </c>
      <c r="U1000">
        <v>0</v>
      </c>
      <c r="V1000">
        <v>9.815603970211452E-2</v>
      </c>
      <c r="W1000">
        <v>3.7581806420412305E-2</v>
      </c>
      <c r="X1000">
        <v>7.6584505254904591E-3</v>
      </c>
      <c r="Y1000">
        <v>1.6257665661879655E-3</v>
      </c>
    </row>
    <row r="1001" spans="1:25" x14ac:dyDescent="0.25">
      <c r="A1001" s="1096"/>
      <c r="B1001" s="1455">
        <v>751</v>
      </c>
      <c r="C1001" s="1100">
        <v>1.0248081390339201</v>
      </c>
      <c r="D1001" s="1100">
        <v>1.0178631026369722</v>
      </c>
      <c r="E1001" s="1100">
        <v>0.96989403633562921</v>
      </c>
      <c r="F1001" s="1100">
        <v>0.9751272478672719</v>
      </c>
      <c r="G1001" s="1100">
        <v>1.038641710051049</v>
      </c>
      <c r="H1001" s="1100">
        <v>0.98010061957407835</v>
      </c>
      <c r="I1001" s="1100">
        <v>1.0017597333621233</v>
      </c>
      <c r="K1001">
        <v>1.2816780445814078</v>
      </c>
      <c r="L1001">
        <v>0</v>
      </c>
      <c r="M1001">
        <v>6.0743376247420042E-4</v>
      </c>
      <c r="N1001">
        <v>5.099140794904157E-2</v>
      </c>
      <c r="O1001">
        <v>7.5134534232360658E-3</v>
      </c>
      <c r="P1001">
        <v>1.5527097061430128E-2</v>
      </c>
      <c r="Q1001">
        <v>4.2193646975144893E-4</v>
      </c>
      <c r="R1001">
        <v>6.0560493776054081E-4</v>
      </c>
      <c r="S1001">
        <v>5.8030943186968297E-2</v>
      </c>
      <c r="T1001">
        <v>1.0075877191722276</v>
      </c>
      <c r="U1001">
        <v>0</v>
      </c>
      <c r="V1001">
        <v>9.8955262948175637E-2</v>
      </c>
      <c r="W1001">
        <v>3.4109997539329813E-2</v>
      </c>
      <c r="X1001">
        <v>6.8937986529919674E-3</v>
      </c>
      <c r="Y1001">
        <v>1.6482570029701133E-3</v>
      </c>
    </row>
    <row r="1002" spans="1:25" x14ac:dyDescent="0.25">
      <c r="A1002" s="1096"/>
      <c r="B1002" s="1455">
        <v>752</v>
      </c>
      <c r="C1002" s="1100">
        <v>0.97130544139733543</v>
      </c>
      <c r="D1002" s="1100">
        <v>1.0050241876447896</v>
      </c>
      <c r="E1002" s="1100">
        <v>1.0149678243573259</v>
      </c>
      <c r="F1002" s="1100">
        <v>1.010502824331031</v>
      </c>
      <c r="G1002" s="1100">
        <v>1.0191550618809619</v>
      </c>
      <c r="H1002" s="1100">
        <v>0.98899835070117348</v>
      </c>
      <c r="I1002" s="1100">
        <v>1.029826026317826</v>
      </c>
      <c r="K1002">
        <v>1.3344630441299092</v>
      </c>
      <c r="L1002">
        <v>0</v>
      </c>
      <c r="M1002">
        <v>5.9205106534950696E-4</v>
      </c>
      <c r="N1002">
        <v>5.695648560584507E-2</v>
      </c>
      <c r="O1002">
        <v>7.9790272552486795E-3</v>
      </c>
      <c r="P1002">
        <v>1.663154280642944E-2</v>
      </c>
      <c r="Q1002">
        <v>4.6894028982180842E-4</v>
      </c>
      <c r="R1002">
        <v>5.9028459066488132E-4</v>
      </c>
      <c r="S1002">
        <v>6.3707307994625303E-2</v>
      </c>
      <c r="T1002">
        <v>1.0427748603589586</v>
      </c>
      <c r="U1002">
        <v>0</v>
      </c>
      <c r="V1002">
        <v>9.9395122500861979E-2</v>
      </c>
      <c r="W1002">
        <v>3.7087095508571907E-2</v>
      </c>
      <c r="X1002">
        <v>7.8578682157032943E-3</v>
      </c>
      <c r="Y1002">
        <v>1.6065600685267905E-3</v>
      </c>
    </row>
    <row r="1003" spans="1:25" x14ac:dyDescent="0.25">
      <c r="A1003" s="1096"/>
      <c r="B1003" s="1455">
        <v>753</v>
      </c>
      <c r="C1003" s="1100">
        <v>1.0109562508367751</v>
      </c>
      <c r="D1003" s="1100">
        <v>1.0225397251880182</v>
      </c>
      <c r="E1003" s="1100">
        <v>1.0008788532339117</v>
      </c>
      <c r="F1003" s="1100">
        <v>1.020538469054882</v>
      </c>
      <c r="G1003" s="1100">
        <v>1.0234161938763491</v>
      </c>
      <c r="H1003" s="1100">
        <v>1.0148270298925686</v>
      </c>
      <c r="I1003" s="1100">
        <v>1.0100214639829863</v>
      </c>
      <c r="K1003">
        <v>1.3373634847286981</v>
      </c>
      <c r="L1003">
        <v>0</v>
      </c>
      <c r="M1003">
        <v>5.9687764201238509E-4</v>
      </c>
      <c r="N1003">
        <v>5.5033490204562066E-2</v>
      </c>
      <c r="O1003">
        <v>7.6098875792412453E-3</v>
      </c>
      <c r="P1003">
        <v>1.6547642257997298E-2</v>
      </c>
      <c r="Q1003">
        <v>4.4098340618456525E-4</v>
      </c>
      <c r="R1003">
        <v>5.9514209211787865E-4</v>
      </c>
      <c r="S1003">
        <v>6.0244876781143472E-2</v>
      </c>
      <c r="T1003">
        <v>1.0535555924691313</v>
      </c>
      <c r="U1003">
        <v>0</v>
      </c>
      <c r="V1003">
        <v>9.8584496968518037E-2</v>
      </c>
      <c r="W1003">
        <v>3.61343890385235E-2</v>
      </c>
      <c r="X1003">
        <v>7.5940809870837121E-3</v>
      </c>
      <c r="Y1003">
        <v>1.619780586206926E-3</v>
      </c>
    </row>
    <row r="1004" spans="1:25" x14ac:dyDescent="0.25">
      <c r="A1004" s="1096"/>
      <c r="B1004" s="1455">
        <v>754</v>
      </c>
      <c r="C1004" s="1100">
        <v>0.97583150149651021</v>
      </c>
      <c r="D1004" s="1100">
        <v>1.0027243615645343</v>
      </c>
      <c r="E1004" s="1100">
        <v>1.0128756621720152</v>
      </c>
      <c r="F1004" s="1100">
        <v>1.0167075214180377</v>
      </c>
      <c r="G1004" s="1100">
        <v>1.0028639097546317</v>
      </c>
      <c r="H1004" s="1100">
        <v>0.97479517161221341</v>
      </c>
      <c r="I1004" s="1100">
        <v>1.0024429208535621</v>
      </c>
      <c r="K1004">
        <v>1.3357613399117576</v>
      </c>
      <c r="L1004">
        <v>0</v>
      </c>
      <c r="M1004">
        <v>5.8390839164895085E-4</v>
      </c>
      <c r="N1004">
        <v>5.5817127269082702E-2</v>
      </c>
      <c r="O1004">
        <v>7.9487736708021596E-3</v>
      </c>
      <c r="P1004">
        <v>1.6650010430816646E-2</v>
      </c>
      <c r="Q1004">
        <v>4.661883397496456E-4</v>
      </c>
      <c r="R1004">
        <v>5.8214082757543069E-4</v>
      </c>
      <c r="S1004">
        <v>6.1354462976172398E-2</v>
      </c>
      <c r="T1004">
        <v>1.0492401477265632</v>
      </c>
      <c r="U1004">
        <v>0</v>
      </c>
      <c r="V1004">
        <v>9.8486187156494986E-2</v>
      </c>
      <c r="W1004">
        <v>3.6389932965588484E-2</v>
      </c>
      <c r="X1004">
        <v>7.8258815105716473E-3</v>
      </c>
      <c r="Y1004">
        <v>1.5843954299880874E-3</v>
      </c>
    </row>
    <row r="1005" spans="1:25" x14ac:dyDescent="0.25">
      <c r="A1005" s="1096"/>
      <c r="B1005" s="1455">
        <v>755</v>
      </c>
      <c r="C1005" s="1100">
        <v>0.99834272172400618</v>
      </c>
      <c r="D1005" s="1100">
        <v>0.96041558028840424</v>
      </c>
      <c r="E1005" s="1100">
        <v>1.0096331328388517</v>
      </c>
      <c r="F1005" s="1100">
        <v>1.0013645135180047</v>
      </c>
      <c r="G1005" s="1100">
        <v>1.0139450690080505</v>
      </c>
      <c r="H1005" s="1100">
        <v>1.0385103434414182</v>
      </c>
      <c r="I1005" s="1100">
        <v>1.0004541052207425</v>
      </c>
      <c r="K1005">
        <v>1.3268712670951861</v>
      </c>
      <c r="L1005">
        <v>0</v>
      </c>
      <c r="M1005">
        <v>6.22805485352638E-4</v>
      </c>
      <c r="N1005">
        <v>5.8966464445263538E-2</v>
      </c>
      <c r="O1005">
        <v>7.9038676591683104E-3</v>
      </c>
      <c r="P1005">
        <v>1.6419301695989059E-2</v>
      </c>
      <c r="Q1005">
        <v>4.6205556510543695E-4</v>
      </c>
      <c r="R1005">
        <v>6.2103584333727537E-4</v>
      </c>
      <c r="S1005">
        <v>6.3236635532898891E-2</v>
      </c>
      <c r="T1005">
        <v>1.0335017528133483</v>
      </c>
      <c r="U1005">
        <v>0</v>
      </c>
      <c r="V1005">
        <v>9.8445874989444834E-2</v>
      </c>
      <c r="W1005">
        <v>3.8516643407751697E-2</v>
      </c>
      <c r="X1005">
        <v>7.7301857870786285E-3</v>
      </c>
      <c r="Y1005">
        <v>1.690254841153328E-3</v>
      </c>
    </row>
    <row r="1006" spans="1:25" x14ac:dyDescent="0.25">
      <c r="A1006" s="1096"/>
      <c r="B1006" s="1455">
        <v>756</v>
      </c>
      <c r="C1006" s="1100">
        <v>0.99126212723706375</v>
      </c>
      <c r="D1006" s="1100">
        <v>0.97411070661744126</v>
      </c>
      <c r="E1006" s="1100">
        <v>0.96930258762243104</v>
      </c>
      <c r="F1006" s="1100">
        <v>1.021957786931055</v>
      </c>
      <c r="G1006" s="1100">
        <v>1.0239703261827835</v>
      </c>
      <c r="H1006" s="1100">
        <v>0.99886392358063281</v>
      </c>
      <c r="I1006" s="1100">
        <v>0.99496918531415868</v>
      </c>
      <c r="K1006">
        <v>1.3414107966451778</v>
      </c>
      <c r="L1006">
        <v>0</v>
      </c>
      <c r="M1006">
        <v>6.5215573073812894E-4</v>
      </c>
      <c r="N1006">
        <v>5.4650765763805335E-2</v>
      </c>
      <c r="O1006">
        <v>7.905293193841029E-3</v>
      </c>
      <c r="P1006">
        <v>1.6214066292499139E-2</v>
      </c>
      <c r="Q1006">
        <v>4.43672852392162E-4</v>
      </c>
      <c r="R1006">
        <v>6.50229142939566E-4</v>
      </c>
      <c r="S1006">
        <v>6.159329094831649E-2</v>
      </c>
      <c r="T1006">
        <v>1.055995715128015</v>
      </c>
      <c r="U1006">
        <v>0</v>
      </c>
      <c r="V1006">
        <v>9.906298473643578E-2</v>
      </c>
      <c r="W1006">
        <v>3.6571040872804751E-2</v>
      </c>
      <c r="X1006">
        <v>7.2061840657636159E-3</v>
      </c>
      <c r="Y1006">
        <v>1.7697093791021359E-3</v>
      </c>
    </row>
    <row r="1007" spans="1:25" x14ac:dyDescent="0.25">
      <c r="A1007" s="1096"/>
      <c r="B1007" s="1455">
        <v>757</v>
      </c>
      <c r="C1007" s="1100">
        <v>1.0072196483924467</v>
      </c>
      <c r="D1007" s="1100">
        <v>0.96766802994229961</v>
      </c>
      <c r="E1007" s="1100">
        <v>1.0044351531754583</v>
      </c>
      <c r="F1007" s="1100">
        <v>0.97101554577661731</v>
      </c>
      <c r="G1007" s="1100">
        <v>0.98520207482322308</v>
      </c>
      <c r="H1007" s="1100">
        <v>1.002594538099312</v>
      </c>
      <c r="I1007" s="1100">
        <v>1.0070460391996154</v>
      </c>
      <c r="K1007">
        <v>1.2867574025443345</v>
      </c>
      <c r="L1007">
        <v>0</v>
      </c>
      <c r="M1007">
        <v>6.0062480549809305E-4</v>
      </c>
      <c r="N1007">
        <v>5.5975097375745769E-2</v>
      </c>
      <c r="O1007">
        <v>7.8093842685969849E-3</v>
      </c>
      <c r="P1007">
        <v>1.5886722729084753E-2</v>
      </c>
      <c r="Q1007">
        <v>4.5416221612321381E-4</v>
      </c>
      <c r="R1007">
        <v>5.9885705182471309E-4</v>
      </c>
      <c r="S1007">
        <v>6.1722601993570513E-2</v>
      </c>
      <c r="T1007">
        <v>1.002327959211482</v>
      </c>
      <c r="U1007">
        <v>0</v>
      </c>
      <c r="V1007">
        <v>9.6830697075230454E-2</v>
      </c>
      <c r="W1007">
        <v>3.6675199490249839E-2</v>
      </c>
      <c r="X1007">
        <v>7.447454456028694E-3</v>
      </c>
      <c r="Y1007">
        <v>1.6298914818927911E-3</v>
      </c>
    </row>
    <row r="1008" spans="1:25" x14ac:dyDescent="0.25">
      <c r="A1008" s="1096"/>
      <c r="B1008" s="1455">
        <v>758</v>
      </c>
      <c r="C1008" s="1100">
        <v>1.0052213968958457</v>
      </c>
      <c r="D1008" s="1100">
        <v>1.0190368068215596</v>
      </c>
      <c r="E1008" s="1100">
        <v>0.98544362498451799</v>
      </c>
      <c r="F1008" s="1100">
        <v>1.0294358302002506</v>
      </c>
      <c r="G1008" s="1100">
        <v>1.0209247546641922</v>
      </c>
      <c r="H1008" s="1100">
        <v>0.98688152858713718</v>
      </c>
      <c r="I1008" s="1100">
        <v>1.0398231905390909</v>
      </c>
      <c r="K1008">
        <v>1.3453639527215477</v>
      </c>
      <c r="L1008">
        <v>0</v>
      </c>
      <c r="M1008">
        <v>6.0355270079362976E-4</v>
      </c>
      <c r="N1008">
        <v>5.3107808269910704E-2</v>
      </c>
      <c r="O1008">
        <v>7.6600779824375249E-3</v>
      </c>
      <c r="P1008">
        <v>1.6505664536696361E-2</v>
      </c>
      <c r="Q1008">
        <v>4.370322016115216E-4</v>
      </c>
      <c r="R1008">
        <v>6.0174804659763464E-4</v>
      </c>
      <c r="S1008">
        <v>6.1599477937153473E-2</v>
      </c>
      <c r="T1008">
        <v>1.0632170040884565</v>
      </c>
      <c r="U1008">
        <v>0</v>
      </c>
      <c r="V1008">
        <v>9.8586579266570315E-2</v>
      </c>
      <c r="W1008">
        <v>3.5193123021119564E-2</v>
      </c>
      <c r="X1008">
        <v>7.4212302551392483E-3</v>
      </c>
      <c r="Y1008">
        <v>1.6377598166485126E-3</v>
      </c>
    </row>
    <row r="1009" spans="1:25" x14ac:dyDescent="0.25">
      <c r="A1009" s="1096"/>
      <c r="B1009" s="1455">
        <v>759</v>
      </c>
      <c r="C1009" s="1100">
        <v>0.99072215740260972</v>
      </c>
      <c r="D1009" s="1100">
        <v>1.0009080041596614</v>
      </c>
      <c r="E1009" s="1100">
        <v>0.99376738034350676</v>
      </c>
      <c r="F1009" s="1100">
        <v>1.0140899461530466</v>
      </c>
      <c r="G1009" s="1100">
        <v>1.0276788941152684</v>
      </c>
      <c r="H1009" s="1100">
        <v>1.0035415677454316</v>
      </c>
      <c r="I1009" s="1100">
        <v>1.0029085442053622</v>
      </c>
      <c r="K1009">
        <v>1.3339637249301395</v>
      </c>
      <c r="L1009">
        <v>0</v>
      </c>
      <c r="M1009">
        <v>6.1649182139479706E-4</v>
      </c>
      <c r="N1009">
        <v>5.563166310157406E-2</v>
      </c>
      <c r="O1009">
        <v>7.8302476178879581E-3</v>
      </c>
      <c r="P1009">
        <v>1.6397449475580701E-2</v>
      </c>
      <c r="Q1009">
        <v>4.5051621417295919E-4</v>
      </c>
      <c r="R1009">
        <v>6.1467908033598757E-4</v>
      </c>
      <c r="S1009">
        <v>6.1388885467476936E-2</v>
      </c>
      <c r="T1009">
        <v>1.0471136744647207</v>
      </c>
      <c r="U1009">
        <v>0</v>
      </c>
      <c r="V1009">
        <v>9.928337488426317E-2</v>
      </c>
      <c r="W1009">
        <v>3.6682186099545488E-2</v>
      </c>
      <c r="X1009">
        <v>7.5145865182058855E-3</v>
      </c>
      <c r="Y1009">
        <v>1.6729538277701829E-3</v>
      </c>
    </row>
    <row r="1010" spans="1:25" x14ac:dyDescent="0.25">
      <c r="A1010" s="1096"/>
      <c r="B1010" s="1455">
        <v>760</v>
      </c>
      <c r="C1010" s="1100">
        <v>0.99853611180184887</v>
      </c>
      <c r="D1010" s="1100">
        <v>1.0051987195398653</v>
      </c>
      <c r="E1010" s="1100">
        <v>1.0228322931312785</v>
      </c>
      <c r="F1010" s="1100">
        <v>0.98239670773011933</v>
      </c>
      <c r="G1010" s="1100">
        <v>1.0178730697335889</v>
      </c>
      <c r="H1010" s="1100">
        <v>0.95339691823838735</v>
      </c>
      <c r="I1010" s="1100">
        <v>0.99374665186015976</v>
      </c>
      <c r="K1010">
        <v>1.2932486417647355</v>
      </c>
      <c r="L1010">
        <v>0</v>
      </c>
      <c r="M1010">
        <v>5.4612733276319676E-4</v>
      </c>
      <c r="N1010">
        <v>5.3794024746584852E-2</v>
      </c>
      <c r="O1010">
        <v>7.7628303203493816E-3</v>
      </c>
      <c r="P1010">
        <v>1.6242735831851061E-2</v>
      </c>
      <c r="Q1010">
        <v>4.5981723678787078E-4</v>
      </c>
      <c r="R1010">
        <v>5.4443703200073663E-4</v>
      </c>
      <c r="S1010">
        <v>5.8720878052854225E-2</v>
      </c>
      <c r="T1010">
        <v>1.0135455021473934</v>
      </c>
      <c r="U1010">
        <v>0</v>
      </c>
      <c r="V1010">
        <v>9.8646011826347468E-2</v>
      </c>
      <c r="W1010">
        <v>3.4866929031945423E-2</v>
      </c>
      <c r="X1010">
        <v>7.7298247438965222E-3</v>
      </c>
      <c r="Y1010">
        <v>1.4817781274866408E-3</v>
      </c>
    </row>
    <row r="1011" spans="1:25" x14ac:dyDescent="0.25">
      <c r="A1011" s="1096"/>
      <c r="B1011" s="1455">
        <v>761</v>
      </c>
      <c r="C1011" s="1100">
        <v>1.0179897913045473</v>
      </c>
      <c r="D1011" s="1100">
        <v>0.96770335324009493</v>
      </c>
      <c r="E1011" s="1100">
        <v>1.0123622181738903</v>
      </c>
      <c r="F1011" s="1100">
        <v>1.0142811965602196</v>
      </c>
      <c r="G1011" s="1100">
        <v>0.99160473183945097</v>
      </c>
      <c r="H1011" s="1100">
        <v>1.0310605513178692</v>
      </c>
      <c r="I1011" s="1100">
        <v>1.0036836843505552</v>
      </c>
      <c r="K1011">
        <v>1.3343676624540699</v>
      </c>
      <c r="L1011">
        <v>0</v>
      </c>
      <c r="M1011">
        <v>6.0115449270990132E-4</v>
      </c>
      <c r="N1011">
        <v>5.738623736454998E-2</v>
      </c>
      <c r="O1011">
        <v>7.7285889114978171E-3</v>
      </c>
      <c r="P1011">
        <v>1.6592772578131503E-2</v>
      </c>
      <c r="Q1011">
        <v>4.5304245240714041E-4</v>
      </c>
      <c r="R1011">
        <v>5.9943402809611553E-4</v>
      </c>
      <c r="S1011">
        <v>6.1740785082668996E-2</v>
      </c>
      <c r="T1011">
        <v>1.0467514907943245</v>
      </c>
      <c r="U1011">
        <v>0</v>
      </c>
      <c r="V1011">
        <v>9.6888907066669583E-2</v>
      </c>
      <c r="W1011">
        <v>3.7424218789470491E-2</v>
      </c>
      <c r="X1011">
        <v>7.7718780578581283E-3</v>
      </c>
      <c r="Y1011">
        <v>1.631461821103372E-3</v>
      </c>
    </row>
    <row r="1012" spans="1:25" x14ac:dyDescent="0.25">
      <c r="A1012" s="1096"/>
      <c r="B1012" s="1455">
        <v>762</v>
      </c>
      <c r="C1012" s="1100">
        <v>1.0248049472449965</v>
      </c>
      <c r="D1012" s="1100">
        <v>0.98362314388394856</v>
      </c>
      <c r="E1012" s="1100">
        <v>0.96451854930561509</v>
      </c>
      <c r="F1012" s="1100">
        <v>1.0125968061408628</v>
      </c>
      <c r="G1012" s="1100">
        <v>0.9806632930906648</v>
      </c>
      <c r="H1012" s="1100">
        <v>0.97048418646635537</v>
      </c>
      <c r="I1012" s="1100">
        <v>0.95833176811514065</v>
      </c>
      <c r="K1012">
        <v>1.3166047541116657</v>
      </c>
      <c r="L1012">
        <v>0</v>
      </c>
      <c r="M1012">
        <v>6.165662183119869E-4</v>
      </c>
      <c r="N1012">
        <v>5.0920729316479812E-2</v>
      </c>
      <c r="O1012">
        <v>7.6157327000892089E-3</v>
      </c>
      <c r="P1012">
        <v>1.591854827590573E-2</v>
      </c>
      <c r="Q1012">
        <v>4.2533326628365009E-4</v>
      </c>
      <c r="R1012">
        <v>6.1469150405912918E-4</v>
      </c>
      <c r="S1012">
        <v>5.626513395229845E-2</v>
      </c>
      <c r="T1012">
        <v>1.0464719417953039</v>
      </c>
      <c r="U1012">
        <v>0</v>
      </c>
      <c r="V1012">
        <v>9.6145240494626152E-2</v>
      </c>
      <c r="W1012">
        <v>3.417459206938861E-2</v>
      </c>
      <c r="X1012">
        <v>6.9963893144935931E-3</v>
      </c>
      <c r="Y1012">
        <v>1.6729876410490952E-3</v>
      </c>
    </row>
    <row r="1013" spans="1:25" x14ac:dyDescent="0.25">
      <c r="A1013" s="1096"/>
      <c r="B1013" s="1455">
        <v>763</v>
      </c>
      <c r="C1013" s="1100">
        <v>1.0320149266972403</v>
      </c>
      <c r="D1013" s="1100">
        <v>1.0250501094895759</v>
      </c>
      <c r="E1013" s="1100">
        <v>1.0107859441269977</v>
      </c>
      <c r="F1013" s="1100">
        <v>0.9871276710954201</v>
      </c>
      <c r="G1013" s="1100">
        <v>1.0161673003978993</v>
      </c>
      <c r="H1013" s="1100">
        <v>1.0285901595186273</v>
      </c>
      <c r="I1013" s="1100">
        <v>1.0263219868668609</v>
      </c>
      <c r="K1013">
        <v>1.3010806961641006</v>
      </c>
      <c r="L1013">
        <v>0</v>
      </c>
      <c r="M1013">
        <v>5.7999350334924206E-4</v>
      </c>
      <c r="N1013">
        <v>5.5103009696152103E-2</v>
      </c>
      <c r="O1013">
        <v>7.449632188860628E-3</v>
      </c>
      <c r="P1013">
        <v>1.6180954417731926E-2</v>
      </c>
      <c r="Q1013">
        <v>4.360033208891955E-4</v>
      </c>
      <c r="R1013">
        <v>5.7832961346210624E-4</v>
      </c>
      <c r="S1013">
        <v>6.0312904684447416E-2</v>
      </c>
      <c r="T1013">
        <v>1.0187744748664542</v>
      </c>
      <c r="U1013">
        <v>0</v>
      </c>
      <c r="V1013">
        <v>9.7744594540890933E-2</v>
      </c>
      <c r="W1013">
        <v>3.5968596025271513E-2</v>
      </c>
      <c r="X1013">
        <v>7.5381677517519056E-3</v>
      </c>
      <c r="Y1013">
        <v>1.5740225615380129E-3</v>
      </c>
    </row>
    <row r="1014" spans="1:25" x14ac:dyDescent="0.25">
      <c r="A1014" s="1096"/>
      <c r="B1014" s="1455">
        <v>764</v>
      </c>
      <c r="C1014" s="1100">
        <v>0.96792331722540703</v>
      </c>
      <c r="D1014" s="1100">
        <v>0.97581184698115864</v>
      </c>
      <c r="E1014" s="1100">
        <v>0.98359368655466228</v>
      </c>
      <c r="F1014" s="1100">
        <v>1.0310689868750147</v>
      </c>
      <c r="G1014" s="1100">
        <v>1.0009158461461793</v>
      </c>
      <c r="H1014" s="1100">
        <v>1.0153274619802577</v>
      </c>
      <c r="I1014" s="1100">
        <v>0.99720358552364696</v>
      </c>
      <c r="K1014">
        <v>1.3574922409361112</v>
      </c>
      <c r="L1014">
        <v>0</v>
      </c>
      <c r="M1014">
        <v>6.5867182610457808E-4</v>
      </c>
      <c r="N1014">
        <v>5.7639299618927081E-2</v>
      </c>
      <c r="O1014">
        <v>8.0939053006673957E-3</v>
      </c>
      <c r="P1014">
        <v>1.6534100510166364E-2</v>
      </c>
      <c r="Q1014">
        <v>4.6091816350622749E-4</v>
      </c>
      <c r="R1014">
        <v>6.5675754032623916E-4</v>
      </c>
      <c r="S1014">
        <v>6.369826528275048E-2</v>
      </c>
      <c r="T1014">
        <v>1.0649614094139384</v>
      </c>
      <c r="U1014">
        <v>0</v>
      </c>
      <c r="V1014">
        <v>9.8566431005168209E-2</v>
      </c>
      <c r="W1014">
        <v>3.8238558575594994E-2</v>
      </c>
      <c r="X1014">
        <v>7.5137898264660639E-3</v>
      </c>
      <c r="Y1014">
        <v>1.7874775247030406E-3</v>
      </c>
    </row>
    <row r="1015" spans="1:25" x14ac:dyDescent="0.25">
      <c r="A1015" s="1096"/>
      <c r="B1015" s="1455">
        <v>765</v>
      </c>
      <c r="C1015" s="1100">
        <v>0.9780738980611563</v>
      </c>
      <c r="D1015" s="1100">
        <v>0.99578728938263394</v>
      </c>
      <c r="E1015" s="1100">
        <v>0.98485860904318778</v>
      </c>
      <c r="F1015" s="1100">
        <v>1.0174040160445261</v>
      </c>
      <c r="G1015" s="1100">
        <v>1.0311498311293388</v>
      </c>
      <c r="H1015" s="1100">
        <v>0.98175603410891166</v>
      </c>
      <c r="I1015" s="1100">
        <v>0.99259881743759382</v>
      </c>
      <c r="K1015">
        <v>1.3365267865492627</v>
      </c>
      <c r="L1015">
        <v>0</v>
      </c>
      <c r="M1015">
        <v>6.2356096429361425E-4</v>
      </c>
      <c r="N1015">
        <v>5.4770520139575514E-2</v>
      </c>
      <c r="O1015">
        <v>7.9455605820090616E-3</v>
      </c>
      <c r="P1015">
        <v>1.6339224015525303E-2</v>
      </c>
      <c r="Q1015">
        <v>4.5305120895838266E-4</v>
      </c>
      <c r="R1015">
        <v>6.2168675037362758E-4</v>
      </c>
      <c r="S1015">
        <v>6.102807233028535E-2</v>
      </c>
      <c r="T1015">
        <v>1.0508083432095991</v>
      </c>
      <c r="U1015">
        <v>0</v>
      </c>
      <c r="V1015">
        <v>9.9764671867239668E-2</v>
      </c>
      <c r="W1015">
        <v>3.6307728762753518E-2</v>
      </c>
      <c r="X1015">
        <v>7.4194622517000219E-3</v>
      </c>
      <c r="Y1015">
        <v>1.6920263955348327E-3</v>
      </c>
    </row>
    <row r="1016" spans="1:25" x14ac:dyDescent="0.25">
      <c r="A1016" s="1096"/>
      <c r="B1016" s="1455">
        <v>766</v>
      </c>
      <c r="C1016" s="1100">
        <v>0.97375580463219247</v>
      </c>
      <c r="D1016" s="1100">
        <v>1.0075323144512696</v>
      </c>
      <c r="E1016" s="1100">
        <v>0.99060092684018686</v>
      </c>
      <c r="F1016" s="1100">
        <v>1.0299462957935852</v>
      </c>
      <c r="G1016" s="1100">
        <v>1.0047899371526163</v>
      </c>
      <c r="H1016" s="1100">
        <v>1.0250173517772323</v>
      </c>
      <c r="I1016" s="1100">
        <v>0.99609701038477616</v>
      </c>
      <c r="K1016">
        <v>1.3544532499550004</v>
      </c>
      <c r="L1016">
        <v>0</v>
      </c>
      <c r="M1016">
        <v>6.4317345444822355E-4</v>
      </c>
      <c r="N1016">
        <v>5.7490036936263478E-2</v>
      </c>
      <c r="O1016">
        <v>7.944890874414275E-3</v>
      </c>
      <c r="P1016">
        <v>1.6587201432693478E-2</v>
      </c>
      <c r="Q1016">
        <v>4.5565335420864227E-4</v>
      </c>
      <c r="R1016">
        <v>6.413218819878657E-4</v>
      </c>
      <c r="S1016">
        <v>6.248090696955344E-2</v>
      </c>
      <c r="T1016">
        <v>1.0635842170210259</v>
      </c>
      <c r="U1016">
        <v>0</v>
      </c>
      <c r="V1016">
        <v>9.8608370881445528E-2</v>
      </c>
      <c r="W1016">
        <v>3.7979403988019682E-2</v>
      </c>
      <c r="X1016">
        <v>7.5789533187661171E-3</v>
      </c>
      <c r="Y1016">
        <v>1.7454667510693911E-3</v>
      </c>
    </row>
    <row r="1017" spans="1:25" x14ac:dyDescent="0.25">
      <c r="A1017" s="1096"/>
      <c r="B1017" s="1455">
        <v>767</v>
      </c>
      <c r="C1017" s="1100">
        <v>0.97342638676330717</v>
      </c>
      <c r="D1017" s="1100">
        <v>1.0222107906426818</v>
      </c>
      <c r="E1017" s="1100">
        <v>1.0053811758367717</v>
      </c>
      <c r="F1017" s="1100">
        <v>0.99053558764895155</v>
      </c>
      <c r="G1017" s="1100">
        <v>0.97635158901647345</v>
      </c>
      <c r="H1017" s="1100">
        <v>1.0024311209981176</v>
      </c>
      <c r="I1017" s="1100">
        <v>1.0314639911910388</v>
      </c>
      <c r="K1017">
        <v>1.3108616350931304</v>
      </c>
      <c r="L1017">
        <v>0</v>
      </c>
      <c r="M1017">
        <v>6.0670145653179269E-4</v>
      </c>
      <c r="N1017">
        <v>5.6703158175301541E-2</v>
      </c>
      <c r="O1017">
        <v>7.9054253487955504E-3</v>
      </c>
      <c r="P1017">
        <v>1.6203826897987671E-2</v>
      </c>
      <c r="Q1017">
        <v>4.6018378288608362E-4</v>
      </c>
      <c r="R1017">
        <v>6.0491552701608347E-4</v>
      </c>
      <c r="S1017">
        <v>6.3513907341257073E-2</v>
      </c>
      <c r="T1017">
        <v>1.0224497103868935</v>
      </c>
      <c r="U1017">
        <v>0</v>
      </c>
      <c r="V1017">
        <v>9.725783820742126E-2</v>
      </c>
      <c r="W1017">
        <v>3.7131426243537859E-2</v>
      </c>
      <c r="X1017">
        <v>7.5915639843768977E-3</v>
      </c>
      <c r="Y1017">
        <v>1.6463806541878916E-3</v>
      </c>
    </row>
    <row r="1018" spans="1:25" x14ac:dyDescent="0.25">
      <c r="A1018" s="1096"/>
      <c r="B1018" s="1455">
        <v>768</v>
      </c>
      <c r="C1018" s="1100">
        <v>1.009276429617028</v>
      </c>
      <c r="D1018" s="1100">
        <v>0.99340150738070487</v>
      </c>
      <c r="E1018" s="1100">
        <v>0.98000345655589549</v>
      </c>
      <c r="F1018" s="1100">
        <v>1.032493900709387</v>
      </c>
      <c r="G1018" s="1100">
        <v>0.97821632136468328</v>
      </c>
      <c r="H1018" s="1100">
        <v>0.99363226985644659</v>
      </c>
      <c r="I1018" s="1100">
        <v>0.99825942434284876</v>
      </c>
      <c r="K1018">
        <v>1.3455810334314295</v>
      </c>
      <c r="L1018">
        <v>0</v>
      </c>
      <c r="M1018">
        <v>6.1835947917335797E-4</v>
      </c>
      <c r="N1018">
        <v>5.3523678515873738E-2</v>
      </c>
      <c r="O1018">
        <v>7.7061286192560158E-3</v>
      </c>
      <c r="P1018">
        <v>1.6430588202242913E-2</v>
      </c>
      <c r="Q1018">
        <v>4.3723886353352523E-4</v>
      </c>
      <c r="R1018">
        <v>6.1652311355268115E-4</v>
      </c>
      <c r="S1018">
        <v>5.9910260045136533E-2</v>
      </c>
      <c r="T1018">
        <v>1.066545513507213</v>
      </c>
      <c r="U1018">
        <v>0</v>
      </c>
      <c r="V1018">
        <v>9.6415674461905077E-2</v>
      </c>
      <c r="W1018">
        <v>3.5585159969122218E-2</v>
      </c>
      <c r="X1018">
        <v>7.3506549344673792E-3</v>
      </c>
      <c r="Y1018">
        <v>1.6779726783006366E-3</v>
      </c>
    </row>
    <row r="1019" spans="1:25" x14ac:dyDescent="0.25">
      <c r="A1019" s="1096"/>
      <c r="B1019" s="1455">
        <v>769</v>
      </c>
      <c r="C1019" s="1100">
        <v>0.99649635724934649</v>
      </c>
      <c r="D1019" s="1100">
        <v>1.0098663625595528</v>
      </c>
      <c r="E1019" s="1100">
        <v>1.000466768895709</v>
      </c>
      <c r="F1019" s="1100">
        <v>1.0027189177677509</v>
      </c>
      <c r="G1019" s="1100">
        <v>0.9818898046176896</v>
      </c>
      <c r="H1019" s="1100">
        <v>1.0006732868905832</v>
      </c>
      <c r="I1019" s="1100">
        <v>1.0131894388138782</v>
      </c>
      <c r="K1019">
        <v>1.3186604938831745</v>
      </c>
      <c r="L1019">
        <v>0</v>
      </c>
      <c r="M1019">
        <v>6.0059265960107151E-4</v>
      </c>
      <c r="N1019">
        <v>5.5304845493308753E-2</v>
      </c>
      <c r="O1019">
        <v>7.7588211339980999E-3</v>
      </c>
      <c r="P1019">
        <v>1.6283336362674667E-2</v>
      </c>
      <c r="Q1019">
        <v>4.4942778762894185E-4</v>
      </c>
      <c r="R1019">
        <v>5.9882160670712804E-4</v>
      </c>
      <c r="S1019">
        <v>6.1283000472622792E-2</v>
      </c>
      <c r="T1019">
        <v>1.0351718222779822</v>
      </c>
      <c r="U1019">
        <v>0</v>
      </c>
      <c r="V1019">
        <v>9.6930835847046967E-2</v>
      </c>
      <c r="W1019">
        <v>3.6321448009870763E-2</v>
      </c>
      <c r="X1019">
        <v>7.5289325389676772E-3</v>
      </c>
      <c r="Y1019">
        <v>1.6297950119672042E-3</v>
      </c>
    </row>
    <row r="1020" spans="1:25" x14ac:dyDescent="0.25">
      <c r="A1020" s="1096"/>
      <c r="B1020" s="1455">
        <v>770</v>
      </c>
      <c r="C1020" s="1100">
        <v>1.025363420499164</v>
      </c>
      <c r="D1020" s="1100">
        <v>0.99222830009004226</v>
      </c>
      <c r="E1020" s="1100">
        <v>1.0215132624186078</v>
      </c>
      <c r="F1020" s="1100">
        <v>0.99868503436858447</v>
      </c>
      <c r="G1020" s="1100">
        <v>0.97732596549791173</v>
      </c>
      <c r="H1020" s="1100">
        <v>1.0456407880234391</v>
      </c>
      <c r="I1020" s="1100">
        <v>0.97325489637071039</v>
      </c>
      <c r="K1020">
        <v>1.3144902593464534</v>
      </c>
      <c r="L1020">
        <v>0</v>
      </c>
      <c r="M1020">
        <v>5.8794548566595221E-4</v>
      </c>
      <c r="N1020">
        <v>5.7698993125155931E-2</v>
      </c>
      <c r="O1020">
        <v>7.5987824470447199E-3</v>
      </c>
      <c r="P1020">
        <v>1.6429240103709039E-2</v>
      </c>
      <c r="Q1020">
        <v>4.4951102911545819E-4</v>
      </c>
      <c r="R1020">
        <v>5.8628628710350611E-4</v>
      </c>
      <c r="S1020">
        <v>5.9080868374741476E-2</v>
      </c>
      <c r="T1020">
        <v>1.030388623852901</v>
      </c>
      <c r="U1020">
        <v>0</v>
      </c>
      <c r="V1020">
        <v>9.6033105371789759E-2</v>
      </c>
      <c r="W1020">
        <v>3.7426780344528912E-2</v>
      </c>
      <c r="X1020">
        <v>7.7903358917568999E-3</v>
      </c>
      <c r="Y1020">
        <v>1.5956780042731427E-3</v>
      </c>
    </row>
    <row r="1021" spans="1:25" x14ac:dyDescent="0.25">
      <c r="A1021" s="1096"/>
      <c r="B1021" s="1455">
        <v>771</v>
      </c>
      <c r="C1021" s="1100">
        <v>1.0123392697990861</v>
      </c>
      <c r="D1021" s="1100">
        <v>0.9733156025296259</v>
      </c>
      <c r="E1021" s="1100">
        <v>0.9804094513585927</v>
      </c>
      <c r="F1021" s="1100">
        <v>0.98671120291502779</v>
      </c>
      <c r="G1021" s="1100">
        <v>0.98179277581585622</v>
      </c>
      <c r="H1021" s="1100">
        <v>0.99832037112953553</v>
      </c>
      <c r="I1021" s="1100">
        <v>1.0245860120948507</v>
      </c>
      <c r="K1021">
        <v>1.3007657474766166</v>
      </c>
      <c r="L1021">
        <v>0</v>
      </c>
      <c r="M1021">
        <v>6.2395484378743936E-4</v>
      </c>
      <c r="N1021">
        <v>5.4075139206250046E-2</v>
      </c>
      <c r="O1021">
        <v>7.7459433077965191E-3</v>
      </c>
      <c r="P1021">
        <v>1.5831065731371895E-2</v>
      </c>
      <c r="Q1021">
        <v>4.3967928983969034E-4</v>
      </c>
      <c r="R1021">
        <v>6.2211056298456797E-4</v>
      </c>
      <c r="S1021">
        <v>6.2127515647279828E-2</v>
      </c>
      <c r="T1021">
        <v>1.0192407431062216</v>
      </c>
      <c r="U1021">
        <v>0</v>
      </c>
      <c r="V1021">
        <v>9.6514846819481762E-2</v>
      </c>
      <c r="W1021">
        <v>3.594298698407087E-2</v>
      </c>
      <c r="X1021">
        <v>7.1564917913544768E-3</v>
      </c>
      <c r="Y1021">
        <v>1.6931798737520219E-3</v>
      </c>
    </row>
    <row r="1022" spans="1:25" x14ac:dyDescent="0.25">
      <c r="A1022" s="1096"/>
      <c r="B1022" s="1455">
        <v>772</v>
      </c>
      <c r="C1022" s="1100">
        <v>0.99865201197412723</v>
      </c>
      <c r="D1022" s="1100">
        <v>0.9784150091913133</v>
      </c>
      <c r="E1022" s="1100">
        <v>1.0278368389944457</v>
      </c>
      <c r="F1022" s="1100">
        <v>1.0122695239454793</v>
      </c>
      <c r="G1022" s="1100">
        <v>0.9705256303659282</v>
      </c>
      <c r="H1022" s="1100">
        <v>0.97752075541075933</v>
      </c>
      <c r="I1022" s="1100">
        <v>1.0231389416731016</v>
      </c>
      <c r="K1022">
        <v>1.329467171692341</v>
      </c>
      <c r="L1022">
        <v>0</v>
      </c>
      <c r="M1022">
        <v>5.6009467654004363E-4</v>
      </c>
      <c r="N1022">
        <v>5.6013034205907225E-2</v>
      </c>
      <c r="O1022">
        <v>7.8474789778095015E-3</v>
      </c>
      <c r="P1022">
        <v>1.6744426684503284E-2</v>
      </c>
      <c r="Q1022">
        <v>4.6714284799184854E-4</v>
      </c>
      <c r="R1022">
        <v>5.5840392700819684E-4</v>
      </c>
      <c r="S1022">
        <v>6.2105100807750439E-2</v>
      </c>
      <c r="T1022">
        <v>1.0442185149645717</v>
      </c>
      <c r="U1022">
        <v>0</v>
      </c>
      <c r="V1022">
        <v>9.6357854068446325E-2</v>
      </c>
      <c r="W1022">
        <v>3.6199493594926281E-2</v>
      </c>
      <c r="X1022">
        <v>7.9960248784522181E-3</v>
      </c>
      <c r="Y1022">
        <v>1.5197914115112458E-3</v>
      </c>
    </row>
    <row r="1023" spans="1:25" x14ac:dyDescent="0.25">
      <c r="A1023" s="1096"/>
      <c r="B1023" s="1455">
        <v>773</v>
      </c>
      <c r="C1023" s="1100">
        <v>0.98919622080177827</v>
      </c>
      <c r="D1023" s="1100">
        <v>1.0159122053407241</v>
      </c>
      <c r="E1023" s="1100">
        <v>0.97673721544586767</v>
      </c>
      <c r="F1023" s="1100">
        <v>1.0100552776003109</v>
      </c>
      <c r="G1023" s="1100">
        <v>0.99645389815582497</v>
      </c>
      <c r="H1023" s="1100">
        <v>0.97286446774911051</v>
      </c>
      <c r="I1023" s="1100">
        <v>0.99879157410419261</v>
      </c>
      <c r="K1023">
        <v>1.3222760740813908</v>
      </c>
      <c r="L1023">
        <v>0</v>
      </c>
      <c r="M1023">
        <v>6.1636110488142207E-4</v>
      </c>
      <c r="N1023">
        <v>5.2822639114541138E-2</v>
      </c>
      <c r="O1023">
        <v>7.7916001114512017E-3</v>
      </c>
      <c r="P1023">
        <v>1.6097352604312026E-2</v>
      </c>
      <c r="Q1023">
        <v>4.4062190009549795E-4</v>
      </c>
      <c r="R1023">
        <v>6.1449159957776623E-4</v>
      </c>
      <c r="S1023">
        <v>5.9788770511418413E-2</v>
      </c>
      <c r="T1023">
        <v>1.0434671958468436</v>
      </c>
      <c r="U1023">
        <v>0</v>
      </c>
      <c r="V1023">
        <v>9.7792509242137504E-2</v>
      </c>
      <c r="W1023">
        <v>3.5188495754724478E-2</v>
      </c>
      <c r="X1023">
        <v>7.2163149342215991E-3</v>
      </c>
      <c r="Y1023">
        <v>1.67244356694932E-3</v>
      </c>
    </row>
    <row r="1024" spans="1:25" x14ac:dyDescent="0.25">
      <c r="A1024" s="1096"/>
      <c r="B1024" s="1455">
        <v>774</v>
      </c>
      <c r="C1024" s="1100">
        <v>1.0045795813353742</v>
      </c>
      <c r="D1024" s="1100">
        <v>0.98381433624283321</v>
      </c>
      <c r="E1024" s="1100">
        <v>0.98130840052002444</v>
      </c>
      <c r="F1024" s="1100">
        <v>0.99768965700623291</v>
      </c>
      <c r="G1024" s="1100">
        <v>0.99178726208730383</v>
      </c>
      <c r="H1024" s="1100">
        <v>0.964430376729141</v>
      </c>
      <c r="I1024" s="1100">
        <v>1.0164663290073863</v>
      </c>
      <c r="K1024">
        <v>1.3088019750939552</v>
      </c>
      <c r="L1024">
        <v>0</v>
      </c>
      <c r="M1024">
        <v>6.0370485575879157E-4</v>
      </c>
      <c r="N1024">
        <v>5.2457196819818058E-2</v>
      </c>
      <c r="O1024">
        <v>7.7725689467177039E-3</v>
      </c>
      <c r="P1024">
        <v>1.5983891042177706E-2</v>
      </c>
      <c r="Q1024">
        <v>4.4159373123798292E-4</v>
      </c>
      <c r="R1024">
        <v>6.0185772514412955E-4</v>
      </c>
      <c r="S1024">
        <v>6.0701649364003615E-2</v>
      </c>
      <c r="T1024">
        <v>1.0305539224887885</v>
      </c>
      <c r="U1024">
        <v>0</v>
      </c>
      <c r="V1024">
        <v>9.7188315952201024E-2</v>
      </c>
      <c r="W1024">
        <v>3.4848655028734923E-2</v>
      </c>
      <c r="X1024">
        <v>7.2179705253953954E-3</v>
      </c>
      <c r="Y1024">
        <v>1.6380583254965483E-3</v>
      </c>
    </row>
    <row r="1025" spans="1:25" x14ac:dyDescent="0.25">
      <c r="A1025" s="1096"/>
      <c r="B1025" s="1455">
        <v>775</v>
      </c>
      <c r="C1025" s="1100">
        <v>0.99962427585871716</v>
      </c>
      <c r="D1025" s="1100">
        <v>1.0117578191903733</v>
      </c>
      <c r="E1025" s="1100">
        <v>0.97822640703423047</v>
      </c>
      <c r="F1025" s="1100">
        <v>0.99812438346619337</v>
      </c>
      <c r="G1025" s="1100">
        <v>1.0018170313905717</v>
      </c>
      <c r="H1025" s="1100">
        <v>0.9999321127969234</v>
      </c>
      <c r="I1025" s="1100">
        <v>1.0068255173126515</v>
      </c>
      <c r="K1025">
        <v>1.312249512042152</v>
      </c>
      <c r="L1025">
        <v>0</v>
      </c>
      <c r="M1025">
        <v>6.2599966373167424E-4</v>
      </c>
      <c r="N1025">
        <v>5.3895429421682545E-2</v>
      </c>
      <c r="O1025">
        <v>7.7233291987585809E-3</v>
      </c>
      <c r="P1025">
        <v>1.5960555786661175E-2</v>
      </c>
      <c r="Q1025">
        <v>4.3742363520408572E-4</v>
      </c>
      <c r="R1025">
        <v>6.2415232131430383E-4</v>
      </c>
      <c r="S1025">
        <v>6.0602271747770914E-2</v>
      </c>
      <c r="T1025">
        <v>1.0310963927627015</v>
      </c>
      <c r="U1025">
        <v>0</v>
      </c>
      <c r="V1025">
        <v>9.7792308600498784E-2</v>
      </c>
      <c r="W1025">
        <v>3.5870814749965861E-2</v>
      </c>
      <c r="X1025">
        <v>7.1740966144662041E-3</v>
      </c>
      <c r="Y1025">
        <v>1.6987368668601112E-3</v>
      </c>
    </row>
    <row r="1026" spans="1:25" x14ac:dyDescent="0.25">
      <c r="A1026" s="1096"/>
      <c r="B1026" s="1455">
        <v>776</v>
      </c>
      <c r="C1026" s="1100">
        <v>1.0003643665552433</v>
      </c>
      <c r="D1026" s="1100">
        <v>0.98843962428069876</v>
      </c>
      <c r="E1026" s="1100">
        <v>0.97200960006852377</v>
      </c>
      <c r="F1026" s="1100">
        <v>0.99406347052015109</v>
      </c>
      <c r="G1026" s="1100">
        <v>0.97044024900200421</v>
      </c>
      <c r="H1026" s="1100">
        <v>0.9929073517011352</v>
      </c>
      <c r="I1026" s="1100">
        <v>1.0437934980158625</v>
      </c>
      <c r="K1026">
        <v>1.3090599565175638</v>
      </c>
      <c r="L1026">
        <v>0</v>
      </c>
      <c r="M1026">
        <v>6.3506760213849001E-4</v>
      </c>
      <c r="N1026">
        <v>5.3655804410112778E-2</v>
      </c>
      <c r="O1026">
        <v>7.7884060741347282E-3</v>
      </c>
      <c r="P1026">
        <v>1.5847486238055097E-2</v>
      </c>
      <c r="Q1026">
        <v>4.383233594931559E-4</v>
      </c>
      <c r="R1026">
        <v>6.3318024082020244E-4</v>
      </c>
      <c r="S1026">
        <v>6.3339903753870025E-2</v>
      </c>
      <c r="T1026">
        <v>1.0270898753441664</v>
      </c>
      <c r="U1026">
        <v>0</v>
      </c>
      <c r="V1026">
        <v>9.6249470742195545E-2</v>
      </c>
      <c r="W1026">
        <v>3.5846158308235537E-2</v>
      </c>
      <c r="X1026">
        <v>7.0831077609155857E-3</v>
      </c>
      <c r="Y1026">
        <v>1.723307887702302E-3</v>
      </c>
    </row>
    <row r="1027" spans="1:25" x14ac:dyDescent="0.25">
      <c r="A1027" s="1096"/>
      <c r="B1027" s="1455">
        <v>777</v>
      </c>
      <c r="C1027" s="1100">
        <v>0.9960557617189908</v>
      </c>
      <c r="D1027" s="1100">
        <v>1.0081318158113355</v>
      </c>
      <c r="E1027" s="1100">
        <v>0.96053113856824124</v>
      </c>
      <c r="F1027" s="1100">
        <v>0.98798456611513785</v>
      </c>
      <c r="G1027" s="1100">
        <v>1.0170370047244166</v>
      </c>
      <c r="H1027" s="1100">
        <v>0.9724905945121497</v>
      </c>
      <c r="I1027" s="1100">
        <v>1.0009493702143808</v>
      </c>
      <c r="K1027">
        <v>1.2985051495689881</v>
      </c>
      <c r="L1027">
        <v>0</v>
      </c>
      <c r="M1027">
        <v>6.3464301329690432E-4</v>
      </c>
      <c r="N1027">
        <v>5.1784622422198584E-2</v>
      </c>
      <c r="O1027">
        <v>7.7578133724397506E-3</v>
      </c>
      <c r="P1027">
        <v>1.5612870183347772E-2</v>
      </c>
      <c r="Q1027">
        <v>4.3149884849154275E-4</v>
      </c>
      <c r="R1027">
        <v>6.3271731648256702E-4</v>
      </c>
      <c r="S1027">
        <v>5.9724910588703141E-2</v>
      </c>
      <c r="T1027">
        <v>1.0211580124191619</v>
      </c>
      <c r="U1027">
        <v>0</v>
      </c>
      <c r="V1027">
        <v>9.8597670869772003E-2</v>
      </c>
      <c r="W1027">
        <v>3.483933008126483E-2</v>
      </c>
      <c r="X1027">
        <v>6.878298520164079E-3</v>
      </c>
      <c r="Y1027">
        <v>1.7220479602582251E-3</v>
      </c>
    </row>
    <row r="1028" spans="1:25" x14ac:dyDescent="0.25">
      <c r="A1028" s="1096"/>
      <c r="B1028" s="1455">
        <v>778</v>
      </c>
      <c r="C1028" s="1100">
        <v>0.98639783421106308</v>
      </c>
      <c r="D1028" s="1100">
        <v>1.020801871560733</v>
      </c>
      <c r="E1028" s="1100">
        <v>1.0097332963082895</v>
      </c>
      <c r="F1028" s="1100">
        <v>0.99384813764606017</v>
      </c>
      <c r="G1028" s="1100">
        <v>1.0123311466335538</v>
      </c>
      <c r="H1028" s="1100">
        <v>1.0251124525668578</v>
      </c>
      <c r="I1028" s="1100">
        <v>0.98421536823654077</v>
      </c>
      <c r="K1028">
        <v>1.313838963548162</v>
      </c>
      <c r="L1028">
        <v>0</v>
      </c>
      <c r="M1028">
        <v>6.0709601956776473E-4</v>
      </c>
      <c r="N1028">
        <v>5.7494354410567466E-2</v>
      </c>
      <c r="O1028">
        <v>7.8068471966418421E-3</v>
      </c>
      <c r="P1028">
        <v>1.6279918098726427E-2</v>
      </c>
      <c r="Q1028">
        <v>4.5642951132594806E-4</v>
      </c>
      <c r="R1028">
        <v>6.0534846922885609E-4</v>
      </c>
      <c r="S1028">
        <v>6.0541421014323887E-2</v>
      </c>
      <c r="T1028">
        <v>1.0257412161759485</v>
      </c>
      <c r="U1028">
        <v>0</v>
      </c>
      <c r="V1028">
        <v>9.866856256098494E-2</v>
      </c>
      <c r="W1028">
        <v>3.7552848762657264E-2</v>
      </c>
      <c r="X1028">
        <v>7.6515543871517678E-3</v>
      </c>
      <c r="Y1028">
        <v>1.6475589801716957E-3</v>
      </c>
    </row>
    <row r="1029" spans="1:25" x14ac:dyDescent="0.25">
      <c r="A1029" s="1096"/>
      <c r="B1029" s="1455">
        <v>779</v>
      </c>
      <c r="C1029" s="1100">
        <v>0.95858527979148744</v>
      </c>
      <c r="D1029" s="1100">
        <v>1.0105372796546159</v>
      </c>
      <c r="E1029" s="1100">
        <v>1.0054405062941987</v>
      </c>
      <c r="F1029" s="1100">
        <v>1.0027772991083874</v>
      </c>
      <c r="G1029" s="1100">
        <v>0.9986492580970272</v>
      </c>
      <c r="H1029" s="1100">
        <v>1.0002989007472949</v>
      </c>
      <c r="I1029" s="1100">
        <v>0.97402033545593913</v>
      </c>
      <c r="K1029">
        <v>1.3248181192836728</v>
      </c>
      <c r="L1029">
        <v>0</v>
      </c>
      <c r="M1029">
        <v>6.1753901733981183E-4</v>
      </c>
      <c r="N1029">
        <v>5.7726030754351142E-2</v>
      </c>
      <c r="O1029">
        <v>8.0648011732840988E-3</v>
      </c>
      <c r="P1029">
        <v>1.6366245979152379E-2</v>
      </c>
      <c r="Q1029">
        <v>4.694891453143882E-4</v>
      </c>
      <c r="R1029">
        <v>6.1571731075063323E-4</v>
      </c>
      <c r="S1029">
        <v>6.1215377596162891E-2</v>
      </c>
      <c r="T1029">
        <v>1.0350840769515792</v>
      </c>
      <c r="U1029">
        <v>0</v>
      </c>
      <c r="V1029">
        <v>9.8730840587293645E-2</v>
      </c>
      <c r="W1029">
        <v>3.7799915588644845E-2</v>
      </c>
      <c r="X1029">
        <v>7.6873836657723772E-3</v>
      </c>
      <c r="Y1029">
        <v>1.6757795487062847E-3</v>
      </c>
    </row>
    <row r="1030" spans="1:25" x14ac:dyDescent="0.25">
      <c r="A1030" s="1096"/>
      <c r="B1030" s="1455">
        <v>780</v>
      </c>
      <c r="C1030" s="1100">
        <v>0.98956934602638702</v>
      </c>
      <c r="D1030" s="1100">
        <v>0.98363827290188866</v>
      </c>
      <c r="E1030" s="1100">
        <v>0.99203858192732097</v>
      </c>
      <c r="F1030" s="1100">
        <v>1.0173682152709962</v>
      </c>
      <c r="G1030" s="1100">
        <v>1.017749409188343</v>
      </c>
      <c r="H1030" s="1100">
        <v>1.011931061250926</v>
      </c>
      <c r="I1030" s="1100">
        <v>0.97830816566001533</v>
      </c>
      <c r="K1030">
        <v>1.3378590164144528</v>
      </c>
      <c r="L1030">
        <v>0</v>
      </c>
      <c r="M1030">
        <v>6.2896677109032929E-4</v>
      </c>
      <c r="N1030">
        <v>5.6462942786771317E-2</v>
      </c>
      <c r="O1030">
        <v>7.8937053731169809E-3</v>
      </c>
      <c r="P1030">
        <v>1.6408221636073399E-2</v>
      </c>
      <c r="Q1030">
        <v>4.5337563113588531E-4</v>
      </c>
      <c r="R1030">
        <v>6.2713268129958942E-4</v>
      </c>
      <c r="S1030">
        <v>6.0768307912294137E-2</v>
      </c>
      <c r="T1030">
        <v>1.0505514239671494</v>
      </c>
      <c r="U1030">
        <v>0</v>
      </c>
      <c r="V1030">
        <v>9.8830235178273398E-2</v>
      </c>
      <c r="W1030">
        <v>3.7268801252602332E-2</v>
      </c>
      <c r="X1030">
        <v>7.5169883425622308E-3</v>
      </c>
      <c r="Y1030">
        <v>1.7068484242646527E-3</v>
      </c>
    </row>
    <row r="1031" spans="1:25" x14ac:dyDescent="0.25">
      <c r="A1031" s="1096"/>
      <c r="B1031" s="1455">
        <v>781</v>
      </c>
      <c r="C1031" s="1100">
        <v>1.0177791829808454</v>
      </c>
      <c r="D1031" s="1100">
        <v>0.98005027995960492</v>
      </c>
      <c r="E1031" s="1100">
        <v>1.0032990933683112</v>
      </c>
      <c r="F1031" s="1100">
        <v>1.0089071802073999</v>
      </c>
      <c r="G1031" s="1100">
        <v>0.98923096752706408</v>
      </c>
      <c r="H1031" s="1100">
        <v>1.0315589868535411</v>
      </c>
      <c r="I1031" s="1100">
        <v>1.0261495248497507</v>
      </c>
      <c r="K1031">
        <v>1.3285639768506221</v>
      </c>
      <c r="L1031">
        <v>0</v>
      </c>
      <c r="M1031">
        <v>6.0989894209436573E-4</v>
      </c>
      <c r="N1031">
        <v>5.664939425209304E-2</v>
      </c>
      <c r="O1031">
        <v>7.6888789203015655E-3</v>
      </c>
      <c r="P1031">
        <v>1.6421290053241906E-2</v>
      </c>
      <c r="Q1031">
        <v>4.4664486878896558E-4</v>
      </c>
      <c r="R1031">
        <v>6.0815429483944622E-4</v>
      </c>
      <c r="S1031">
        <v>6.2715311216758121E-2</v>
      </c>
      <c r="T1031">
        <v>1.0414754722268813</v>
      </c>
      <c r="U1031">
        <v>0</v>
      </c>
      <c r="V1031">
        <v>9.6769050669330031E-2</v>
      </c>
      <c r="W1031">
        <v>3.7141996485706361E-2</v>
      </c>
      <c r="X1031">
        <v>7.6024872922316978E-3</v>
      </c>
      <c r="Y1031">
        <v>1.6551955125435583E-3</v>
      </c>
    </row>
    <row r="1032" spans="1:25" x14ac:dyDescent="0.25">
      <c r="A1032" s="1096"/>
      <c r="B1032" s="1455">
        <v>782</v>
      </c>
      <c r="C1032" s="1100">
        <v>1.0382127258368683</v>
      </c>
      <c r="D1032" s="1100">
        <v>1.0300924330054051</v>
      </c>
      <c r="E1032" s="1100">
        <v>0.97938860032624375</v>
      </c>
      <c r="F1032" s="1100">
        <v>0.98564786962935591</v>
      </c>
      <c r="G1032" s="1100">
        <v>0.99039064902204044</v>
      </c>
      <c r="H1032" s="1100">
        <v>0.99537209114810377</v>
      </c>
      <c r="I1032" s="1100">
        <v>0.99409272213110667</v>
      </c>
      <c r="K1032">
        <v>1.2890902169337943</v>
      </c>
      <c r="L1032">
        <v>0</v>
      </c>
      <c r="M1032">
        <v>5.9425953132780703E-4</v>
      </c>
      <c r="N1032">
        <v>5.1342308496803324E-2</v>
      </c>
      <c r="O1032">
        <v>7.3833092759243565E-3</v>
      </c>
      <c r="P1032">
        <v>1.5731985665836227E-2</v>
      </c>
      <c r="Q1032">
        <v>4.1866061873229604E-4</v>
      </c>
      <c r="R1032">
        <v>5.9249782094097892E-4</v>
      </c>
      <c r="S1032">
        <v>5.6929575850880446E-2</v>
      </c>
      <c r="T1032">
        <v>1.0181729082743056</v>
      </c>
      <c r="U1032">
        <v>0</v>
      </c>
      <c r="V1032">
        <v>9.6319722241517261E-2</v>
      </c>
      <c r="W1032">
        <v>3.4147556941693351E-2</v>
      </c>
      <c r="X1032">
        <v>7.0333675267404E-3</v>
      </c>
      <c r="Y1032">
        <v>1.6125837517471635E-3</v>
      </c>
    </row>
    <row r="1033" spans="1:25" x14ac:dyDescent="0.25">
      <c r="A1033" s="1096"/>
      <c r="B1033" s="1455">
        <v>783</v>
      </c>
      <c r="C1033" s="1100">
        <v>0.98362784904616285</v>
      </c>
      <c r="D1033" s="1100">
        <v>0.96875064051081139</v>
      </c>
      <c r="E1033" s="1100">
        <v>0.99603037172173359</v>
      </c>
      <c r="F1033" s="1100">
        <v>1.0214438372144832</v>
      </c>
      <c r="G1033" s="1100">
        <v>1.0090523385864274</v>
      </c>
      <c r="H1033" s="1100">
        <v>0.98437354204274952</v>
      </c>
      <c r="I1033" s="1100">
        <v>1.030652352768634</v>
      </c>
      <c r="K1033">
        <v>1.344091567962294</v>
      </c>
      <c r="L1033">
        <v>0</v>
      </c>
      <c r="M1033">
        <v>6.1419855515276311E-4</v>
      </c>
      <c r="N1033">
        <v>5.5801895511046959E-2</v>
      </c>
      <c r="O1033">
        <v>7.9909880535534682E-3</v>
      </c>
      <c r="P1033">
        <v>1.6553994121983266E-2</v>
      </c>
      <c r="Q1033">
        <v>4.6081446288118156E-4</v>
      </c>
      <c r="R1033">
        <v>6.1235739029650205E-4</v>
      </c>
      <c r="S1033">
        <v>6.4046546271789628E-2</v>
      </c>
      <c r="T1033">
        <v>1.0546378900024225</v>
      </c>
      <c r="U1033">
        <v>0</v>
      </c>
      <c r="V1033">
        <v>9.85652586374475E-2</v>
      </c>
      <c r="W1033">
        <v>3.6744778547695832E-2</v>
      </c>
      <c r="X1033">
        <v>7.6246085655007787E-3</v>
      </c>
      <c r="Y1033">
        <v>1.6666349528276195E-3</v>
      </c>
    </row>
    <row r="1034" spans="1:25" x14ac:dyDescent="0.25">
      <c r="A1034" s="1096"/>
      <c r="B1034" s="1455">
        <v>784</v>
      </c>
      <c r="C1034" s="1100">
        <v>0.97965283083409704</v>
      </c>
      <c r="D1034" s="1100">
        <v>1.0344181036429447</v>
      </c>
      <c r="E1034" s="1100">
        <v>1.0068932012902319</v>
      </c>
      <c r="F1034" s="1100">
        <v>1.0320345442211296</v>
      </c>
      <c r="G1034" s="1100">
        <v>0.99742739153650306</v>
      </c>
      <c r="H1034" s="1100">
        <v>0.99177406557083092</v>
      </c>
      <c r="I1034" s="1100">
        <v>0.98868794319629683</v>
      </c>
      <c r="K1034">
        <v>1.3494745468970619</v>
      </c>
      <c r="L1034">
        <v>0</v>
      </c>
      <c r="M1034">
        <v>5.917502973932495E-4</v>
      </c>
      <c r="N1034">
        <v>5.5557148603757454E-2</v>
      </c>
      <c r="O1034">
        <v>7.8183423102952919E-3</v>
      </c>
      <c r="P1034">
        <v>1.6769291424221781E-2</v>
      </c>
      <c r="Q1034">
        <v>4.5580446802297051E-4</v>
      </c>
      <c r="R1034">
        <v>5.899896614823915E-4</v>
      </c>
      <c r="S1034">
        <v>5.9787159170292876E-2</v>
      </c>
      <c r="T1034">
        <v>1.065239562014753</v>
      </c>
      <c r="U1034">
        <v>0</v>
      </c>
      <c r="V1034">
        <v>9.8117330487642707E-2</v>
      </c>
      <c r="W1034">
        <v>3.634845290818324E-2</v>
      </c>
      <c r="X1034">
        <v>7.7774587772861947E-3</v>
      </c>
      <c r="Y1034">
        <v>1.6057573685154323E-3</v>
      </c>
    </row>
    <row r="1035" spans="1:25" x14ac:dyDescent="0.25">
      <c r="A1035" s="1096"/>
      <c r="B1035" s="1455">
        <v>785</v>
      </c>
      <c r="C1035" s="1100">
        <v>0.98187613734783941</v>
      </c>
      <c r="D1035" s="1100">
        <v>0.98028668810259034</v>
      </c>
      <c r="E1035" s="1100">
        <v>1.012659679605437</v>
      </c>
      <c r="F1035" s="1100">
        <v>1.0256091101392615</v>
      </c>
      <c r="G1035" s="1100">
        <v>0.96679501305546123</v>
      </c>
      <c r="H1035" s="1100">
        <v>1.0265720072430917</v>
      </c>
      <c r="I1035" s="1100">
        <v>1.0051201050769301</v>
      </c>
      <c r="K1035">
        <v>1.3507123929244869</v>
      </c>
      <c r="L1035">
        <v>0</v>
      </c>
      <c r="M1035">
        <v>6.1697168093275507E-4</v>
      </c>
      <c r="N1035">
        <v>5.8948311987055184E-2</v>
      </c>
      <c r="O1035">
        <v>7.9716215587437404E-3</v>
      </c>
      <c r="P1035">
        <v>1.6777567292178955E-2</v>
      </c>
      <c r="Q1035">
        <v>4.674275709693571E-4</v>
      </c>
      <c r="R1035">
        <v>6.1519822814626052E-4</v>
      </c>
      <c r="S1035">
        <v>6.3520537258304588E-2</v>
      </c>
      <c r="T1035">
        <v>1.0584330789128282</v>
      </c>
      <c r="U1035">
        <v>0</v>
      </c>
      <c r="V1035">
        <v>9.6584515628302739E-2</v>
      </c>
      <c r="W1035">
        <v>3.8436190675134804E-2</v>
      </c>
      <c r="X1035">
        <v>7.9005487167828573E-3</v>
      </c>
      <c r="Y1035">
        <v>1.6743667769727165E-3</v>
      </c>
    </row>
    <row r="1036" spans="1:25" x14ac:dyDescent="0.25">
      <c r="A1036" s="1096"/>
      <c r="B1036" s="1455">
        <v>786</v>
      </c>
      <c r="C1036" s="1100">
        <v>1.0106303780919361</v>
      </c>
      <c r="D1036" s="1100">
        <v>1.0075618195973488</v>
      </c>
      <c r="E1036" s="1100">
        <v>0.9878228619599887</v>
      </c>
      <c r="F1036" s="1100">
        <v>1.0129907708221237</v>
      </c>
      <c r="G1036" s="1100">
        <v>1.0368773389993227</v>
      </c>
      <c r="H1036" s="1100">
        <v>0.96431113050979833</v>
      </c>
      <c r="I1036" s="1100">
        <v>0.99866220389371907</v>
      </c>
      <c r="K1036">
        <v>1.323576039714836</v>
      </c>
      <c r="L1036">
        <v>0</v>
      </c>
      <c r="M1036">
        <v>5.8636106604268649E-4</v>
      </c>
      <c r="N1036">
        <v>5.1964012529604024E-2</v>
      </c>
      <c r="O1036">
        <v>7.6542467197406802E-3</v>
      </c>
      <c r="P1036">
        <v>1.6271950214221589E-2</v>
      </c>
      <c r="Q1036">
        <v>4.3775293988520061E-4</v>
      </c>
      <c r="R1036">
        <v>5.8456677964628862E-4</v>
      </c>
      <c r="S1036">
        <v>5.85267187003366E-2</v>
      </c>
      <c r="T1036">
        <v>1.0461595962828372</v>
      </c>
      <c r="U1036">
        <v>0</v>
      </c>
      <c r="V1036">
        <v>9.9228979573960763E-2</v>
      </c>
      <c r="W1036">
        <v>3.4385983703028936E-2</v>
      </c>
      <c r="X1036">
        <v>7.3575952658057131E-3</v>
      </c>
      <c r="Y1036">
        <v>1.5909980718100771E-3</v>
      </c>
    </row>
    <row r="1037" spans="1:25" x14ac:dyDescent="0.25">
      <c r="A1037" s="1096"/>
      <c r="B1037" s="1455">
        <v>787</v>
      </c>
      <c r="C1037" s="1100">
        <v>1.0059213306487278</v>
      </c>
      <c r="D1037" s="1100">
        <v>0.97167003028385268</v>
      </c>
      <c r="E1037" s="1100">
        <v>0.96167945067484395</v>
      </c>
      <c r="F1037" s="1100">
        <v>1.0046847882775896</v>
      </c>
      <c r="G1037" s="1100">
        <v>0.97643324278340748</v>
      </c>
      <c r="H1037" s="1100">
        <v>1.0371995447177638</v>
      </c>
      <c r="I1037" s="1100">
        <v>1.0136665946261005</v>
      </c>
      <c r="K1037">
        <v>1.3237407351784336</v>
      </c>
      <c r="L1037">
        <v>0</v>
      </c>
      <c r="M1037">
        <v>6.7857426236752423E-4</v>
      </c>
      <c r="N1037">
        <v>5.5572785281189294E-2</v>
      </c>
      <c r="O1037">
        <v>7.7960399786278526E-3</v>
      </c>
      <c r="P1037">
        <v>1.5870486638107272E-2</v>
      </c>
      <c r="Q1037">
        <v>4.3413682409611964E-4</v>
      </c>
      <c r="R1037">
        <v>6.7664372201321364E-4</v>
      </c>
      <c r="S1037">
        <v>6.3104611149705475E-2</v>
      </c>
      <c r="T1037">
        <v>1.0383832919718659</v>
      </c>
      <c r="U1037">
        <v>0</v>
      </c>
      <c r="V1037">
        <v>9.639127451075552E-2</v>
      </c>
      <c r="W1037">
        <v>3.7361599695736582E-2</v>
      </c>
      <c r="X1037">
        <v>6.9868385129271595E-3</v>
      </c>
      <c r="Y1037">
        <v>1.8416011557769532E-3</v>
      </c>
    </row>
    <row r="1038" spans="1:25" x14ac:dyDescent="0.25">
      <c r="A1038" s="1096"/>
      <c r="B1038" s="1455">
        <v>788</v>
      </c>
      <c r="C1038" s="1100">
        <v>0.98989891451994816</v>
      </c>
      <c r="D1038" s="1100">
        <v>1.0076684827242595</v>
      </c>
      <c r="E1038" s="1100">
        <v>0.96823422902140888</v>
      </c>
      <c r="F1038" s="1100">
        <v>0.98920138024663229</v>
      </c>
      <c r="G1038" s="1100">
        <v>1.0158523627654785</v>
      </c>
      <c r="H1038" s="1100">
        <v>0.98625505096307997</v>
      </c>
      <c r="I1038" s="1100">
        <v>0.99068630207685249</v>
      </c>
      <c r="K1038">
        <v>1.3024182413998584</v>
      </c>
      <c r="L1038">
        <v>0</v>
      </c>
      <c r="M1038">
        <v>6.3753764295359594E-4</v>
      </c>
      <c r="N1038">
        <v>5.3251188415703428E-2</v>
      </c>
      <c r="O1038">
        <v>7.8093932128052634E-3</v>
      </c>
      <c r="P1038">
        <v>1.5723472958753721E-2</v>
      </c>
      <c r="Q1038">
        <v>4.3781195179906402E-4</v>
      </c>
      <c r="R1038">
        <v>6.3563016112046765E-4</v>
      </c>
      <c r="S1038">
        <v>5.9921393701885706E-2</v>
      </c>
      <c r="T1038">
        <v>1.0221807485071073</v>
      </c>
      <c r="U1038">
        <v>0</v>
      </c>
      <c r="V1038">
        <v>9.8703568106731296E-2</v>
      </c>
      <c r="W1038">
        <v>3.5657676902272943E-2</v>
      </c>
      <c r="X1038">
        <v>7.004919361488557E-3</v>
      </c>
      <c r="Y1038">
        <v>1.7299757631436135E-3</v>
      </c>
    </row>
    <row r="1039" spans="1:25" x14ac:dyDescent="0.25">
      <c r="A1039" s="1096"/>
      <c r="B1039" s="1455">
        <v>789</v>
      </c>
      <c r="C1039" s="1100">
        <v>1.0002911571105499</v>
      </c>
      <c r="D1039" s="1100">
        <v>1.0206874217116726</v>
      </c>
      <c r="E1039" s="1100">
        <v>1.004612866507437</v>
      </c>
      <c r="F1039" s="1100">
        <v>0.98011994719820039</v>
      </c>
      <c r="G1039" s="1100">
        <v>0.97690076325198638</v>
      </c>
      <c r="H1039" s="1100">
        <v>0.99580526303525096</v>
      </c>
      <c r="I1039" s="1100">
        <v>1.010135707743282</v>
      </c>
      <c r="K1039">
        <v>1.2926000822856012</v>
      </c>
      <c r="L1039">
        <v>0</v>
      </c>
      <c r="M1039">
        <v>5.8779156857253286E-4</v>
      </c>
      <c r="N1039">
        <v>5.4807413202481857E-2</v>
      </c>
      <c r="O1039">
        <v>7.6975132865307163E-3</v>
      </c>
      <c r="P1039">
        <v>1.5995753630233436E-2</v>
      </c>
      <c r="Q1039">
        <v>4.4773602586141138E-4</v>
      </c>
      <c r="R1039">
        <v>5.8604979076323674E-4</v>
      </c>
      <c r="S1039">
        <v>6.0375022199737963E-2</v>
      </c>
      <c r="T1039">
        <v>1.0117207899402165</v>
      </c>
      <c r="U1039">
        <v>0</v>
      </c>
      <c r="V1039">
        <v>9.6599730915810561E-2</v>
      </c>
      <c r="W1039">
        <v>3.5906347012214464E-2</v>
      </c>
      <c r="X1039">
        <v>7.4564835111276002E-3</v>
      </c>
      <c r="Y1039">
        <v>1.5950343391959261E-3</v>
      </c>
    </row>
    <row r="1040" spans="1:25" x14ac:dyDescent="0.25">
      <c r="A1040" s="1096"/>
      <c r="B1040" s="1455">
        <v>790</v>
      </c>
      <c r="C1040" s="1100">
        <v>0.98175924992320129</v>
      </c>
      <c r="D1040" s="1100">
        <v>0.98800614107476203</v>
      </c>
      <c r="E1040" s="1100">
        <v>0.99371653647993818</v>
      </c>
      <c r="F1040" s="1100">
        <v>1.0413998210999709</v>
      </c>
      <c r="G1040" s="1100">
        <v>1.0237853950181222</v>
      </c>
      <c r="H1040" s="1100">
        <v>0.9803498659247365</v>
      </c>
      <c r="I1040" s="1100">
        <v>0.95546321734314055</v>
      </c>
      <c r="K1040">
        <v>1.3592965996217874</v>
      </c>
      <c r="L1040">
        <v>0</v>
      </c>
      <c r="M1040">
        <v>6.109694390774872E-4</v>
      </c>
      <c r="N1040">
        <v>5.5121010241973238E-2</v>
      </c>
      <c r="O1040">
        <v>7.9428338847151881E-3</v>
      </c>
      <c r="P1040">
        <v>1.6744186238520167E-2</v>
      </c>
      <c r="Q1040">
        <v>4.569704708041614E-4</v>
      </c>
      <c r="R1040">
        <v>6.0913043703416097E-4</v>
      </c>
      <c r="S1040">
        <v>5.8738190283592159E-2</v>
      </c>
      <c r="T1040">
        <v>1.0753144784140674</v>
      </c>
      <c r="U1040">
        <v>0</v>
      </c>
      <c r="V1040">
        <v>9.9323319626830261E-2</v>
      </c>
      <c r="W1040">
        <v>3.6346577612531454E-2</v>
      </c>
      <c r="X1040">
        <v>7.6530196009829158E-3</v>
      </c>
      <c r="Y1040">
        <v>1.6578522498123835E-3</v>
      </c>
    </row>
    <row r="1041" spans="1:25" x14ac:dyDescent="0.25">
      <c r="A1041" s="1096"/>
      <c r="B1041" s="1455">
        <v>791</v>
      </c>
      <c r="C1041" s="1100">
        <v>1.0283034345332847</v>
      </c>
      <c r="D1041" s="1100">
        <v>0.9702795406693232</v>
      </c>
      <c r="E1041" s="1100">
        <v>0.99421218716753812</v>
      </c>
      <c r="F1041" s="1100">
        <v>1.0340664766737933</v>
      </c>
      <c r="G1041" s="1100">
        <v>0.99005215628812926</v>
      </c>
      <c r="H1041" s="1100">
        <v>1.0240340480782744</v>
      </c>
      <c r="I1041" s="1100">
        <v>1.0227213510469897</v>
      </c>
      <c r="K1041">
        <v>1.3521241856995454</v>
      </c>
      <c r="L1041">
        <v>0</v>
      </c>
      <c r="M1041">
        <v>6.131059370899116E-4</v>
      </c>
      <c r="N1041">
        <v>5.5403826745667351E-2</v>
      </c>
      <c r="O1041">
        <v>7.6385531666948742E-3</v>
      </c>
      <c r="P1041">
        <v>1.6653439678772714E-2</v>
      </c>
      <c r="Q1041">
        <v>4.3968420127872792E-4</v>
      </c>
      <c r="R1041">
        <v>6.1133922840767724E-4</v>
      </c>
      <c r="S1041">
        <v>6.1958161912648121E-2</v>
      </c>
      <c r="T1041">
        <v>1.0677269653264236</v>
      </c>
      <c r="U1041">
        <v>0</v>
      </c>
      <c r="V1041">
        <v>9.6549547238241676E-2</v>
      </c>
      <c r="W1041">
        <v>3.65222536791232E-2</v>
      </c>
      <c r="X1041">
        <v>7.5696566075722791E-3</v>
      </c>
      <c r="Y1041">
        <v>1.6638638518032144E-3</v>
      </c>
    </row>
    <row r="1042" spans="1:25" x14ac:dyDescent="0.25">
      <c r="A1042" s="1096"/>
      <c r="B1042" s="1455">
        <v>792</v>
      </c>
      <c r="C1042" s="1100">
        <v>1.0239818467007848</v>
      </c>
      <c r="D1042" s="1100">
        <v>1.0126368024969519</v>
      </c>
      <c r="E1042" s="1100">
        <v>0.99440064809490913</v>
      </c>
      <c r="F1042" s="1100">
        <v>1.0035965193343401</v>
      </c>
      <c r="G1042" s="1100">
        <v>0.99495200711366749</v>
      </c>
      <c r="H1042" s="1100">
        <v>1.0234172123451282</v>
      </c>
      <c r="I1042" s="1100">
        <v>1.0158515885535269</v>
      </c>
      <c r="K1042">
        <v>1.3174628328252169</v>
      </c>
      <c r="L1042">
        <v>0</v>
      </c>
      <c r="M1042">
        <v>6.046589856678105E-4</v>
      </c>
      <c r="N1042">
        <v>5.4671548897862653E-2</v>
      </c>
      <c r="O1042">
        <v>7.5408445481900521E-3</v>
      </c>
      <c r="P1042">
        <v>1.6211654922439211E-2</v>
      </c>
      <c r="Q1042">
        <v>4.3414247162074858E-4</v>
      </c>
      <c r="R1042">
        <v>6.0291556731819414E-4</v>
      </c>
      <c r="S1042">
        <v>6.0386643208071654E-2</v>
      </c>
      <c r="T1042">
        <v>1.0362595011511357</v>
      </c>
      <c r="U1042">
        <v>0</v>
      </c>
      <c r="V1042">
        <v>9.6888490155353266E-2</v>
      </c>
      <c r="W1042">
        <v>3.6035480658787471E-2</v>
      </c>
      <c r="X1042">
        <v>7.3953328069284608E-3</v>
      </c>
      <c r="Y1042">
        <v>1.6409374231767739E-3</v>
      </c>
    </row>
    <row r="1043" spans="1:25" x14ac:dyDescent="0.25">
      <c r="A1043" s="1096"/>
      <c r="B1043" s="1455">
        <v>793</v>
      </c>
      <c r="C1043" s="1100">
        <v>0.97205553014102031</v>
      </c>
      <c r="D1043" s="1100">
        <v>0.98552323091201455</v>
      </c>
      <c r="E1043" s="1100">
        <v>1.0002338475536867</v>
      </c>
      <c r="F1043" s="1100">
        <v>1.0349978149600279</v>
      </c>
      <c r="G1043" s="1100">
        <v>0.9873714281721554</v>
      </c>
      <c r="H1043" s="1100">
        <v>1.0075479740463593</v>
      </c>
      <c r="I1043" s="1100">
        <v>0.99618508646947879</v>
      </c>
      <c r="K1043">
        <v>1.3593383500619305</v>
      </c>
      <c r="L1043">
        <v>0</v>
      </c>
      <c r="M1043">
        <v>6.2630624897414488E-4</v>
      </c>
      <c r="N1043">
        <v>5.7633243907337088E-2</v>
      </c>
      <c r="O1043">
        <v>8.0318575458130353E-3</v>
      </c>
      <c r="P1043">
        <v>1.6768030504061879E-2</v>
      </c>
      <c r="Q1043">
        <v>4.6513446149680103E-4</v>
      </c>
      <c r="R1043">
        <v>6.2447197235980642E-4</v>
      </c>
      <c r="S1043">
        <v>6.2799376517262334E-2</v>
      </c>
      <c r="T1043">
        <v>1.0685025960210921</v>
      </c>
      <c r="U1043">
        <v>0</v>
      </c>
      <c r="V1043">
        <v>9.7821081724680875E-2</v>
      </c>
      <c r="W1043">
        <v>3.7855862068766621E-2</v>
      </c>
      <c r="X1043">
        <v>7.7633947364008152E-3</v>
      </c>
      <c r="Y1043">
        <v>1.6996068516330308E-3</v>
      </c>
    </row>
    <row r="1044" spans="1:25" x14ac:dyDescent="0.25">
      <c r="A1044" s="1096"/>
      <c r="B1044" s="1455">
        <v>794</v>
      </c>
      <c r="C1044" s="1100">
        <v>0.98158033918842058</v>
      </c>
      <c r="D1044" s="1100">
        <v>0.99840537601878498</v>
      </c>
      <c r="E1044" s="1100">
        <v>0.98988435356168647</v>
      </c>
      <c r="F1044" s="1100">
        <v>1.0170852008502282</v>
      </c>
      <c r="G1044" s="1100">
        <v>1.0145420980031263</v>
      </c>
      <c r="H1044" s="1100">
        <v>0.99632758890696216</v>
      </c>
      <c r="I1044" s="1100">
        <v>0.99560941051104468</v>
      </c>
      <c r="K1044">
        <v>1.3368307694714239</v>
      </c>
      <c r="L1044">
        <v>0</v>
      </c>
      <c r="M1044">
        <v>6.2337393165143946E-4</v>
      </c>
      <c r="N1044">
        <v>5.5595049071996444E-2</v>
      </c>
      <c r="O1044">
        <v>7.9101213208859975E-3</v>
      </c>
      <c r="P1044">
        <v>1.6387298042375004E-2</v>
      </c>
      <c r="Q1044">
        <v>4.5333084306370695E-4</v>
      </c>
      <c r="R1044">
        <v>6.2152768254162931E-4</v>
      </c>
      <c r="S1044">
        <v>6.1364898643616141E-2</v>
      </c>
      <c r="T1044">
        <v>1.0503249857552861</v>
      </c>
      <c r="U1044">
        <v>0</v>
      </c>
      <c r="V1044">
        <v>9.8876468526223976E-2</v>
      </c>
      <c r="W1044">
        <v>3.6743292455695215E-2</v>
      </c>
      <c r="X1044">
        <v>7.4855775960569765E-3</v>
      </c>
      <c r="Y1044">
        <v>1.6915934653328295E-3</v>
      </c>
    </row>
    <row r="1045" spans="1:25" x14ac:dyDescent="0.25">
      <c r="A1045" s="1096"/>
      <c r="B1045" s="1455">
        <v>795</v>
      </c>
      <c r="C1045" s="1100">
        <v>1.0018069369592753</v>
      </c>
      <c r="D1045" s="1100">
        <v>0.96529643750281269</v>
      </c>
      <c r="E1045" s="1100">
        <v>1.0012342459018599</v>
      </c>
      <c r="F1045" s="1100">
        <v>1.0003705978800752</v>
      </c>
      <c r="G1045" s="1100">
        <v>1.0238267426249257</v>
      </c>
      <c r="H1045" s="1100">
        <v>1.0296515559400599</v>
      </c>
      <c r="I1045" s="1100">
        <v>0.99933688844130464</v>
      </c>
      <c r="K1045">
        <v>1.3234860975520593</v>
      </c>
      <c r="L1045">
        <v>0</v>
      </c>
      <c r="M1045">
        <v>6.2491287921505572E-4</v>
      </c>
      <c r="N1045">
        <v>5.7682719602451929E-2</v>
      </c>
      <c r="O1045">
        <v>7.8584925258009392E-3</v>
      </c>
      <c r="P1045">
        <v>1.6301723516700475E-2</v>
      </c>
      <c r="Q1045">
        <v>4.5555236423435569E-4</v>
      </c>
      <c r="R1045">
        <v>6.231219722988156E-4</v>
      </c>
      <c r="S1045">
        <v>6.249496981641698E-2</v>
      </c>
      <c r="T1045">
        <v>1.0327246662029463</v>
      </c>
      <c r="U1045">
        <v>0</v>
      </c>
      <c r="V1045">
        <v>9.8828645065596896E-2</v>
      </c>
      <c r="W1045">
        <v>3.7865851722521472E-2</v>
      </c>
      <c r="X1045">
        <v>7.579335045810277E-3</v>
      </c>
      <c r="Y1045">
        <v>1.6959325964944138E-3</v>
      </c>
    </row>
    <row r="1046" spans="1:25" x14ac:dyDescent="0.25">
      <c r="A1046" s="1096"/>
      <c r="B1046" s="1455">
        <v>796</v>
      </c>
      <c r="C1046" s="1100">
        <v>0.99096120104413998</v>
      </c>
      <c r="D1046" s="1100">
        <v>0.98055537530343861</v>
      </c>
      <c r="E1046" s="1100">
        <v>1.0298021245612277</v>
      </c>
      <c r="F1046" s="1100">
        <v>1.032512033900421</v>
      </c>
      <c r="G1046" s="1100">
        <v>0.99384356611350622</v>
      </c>
      <c r="H1046" s="1100">
        <v>0.9773242442761122</v>
      </c>
      <c r="I1046" s="1100">
        <v>1.0066377464843019</v>
      </c>
      <c r="K1046">
        <v>1.3522891684854295</v>
      </c>
      <c r="L1046">
        <v>0</v>
      </c>
      <c r="M1046">
        <v>5.615311234268114E-4</v>
      </c>
      <c r="N1046">
        <v>5.6490370202545485E-2</v>
      </c>
      <c r="O1046">
        <v>7.9019662306309083E-3</v>
      </c>
      <c r="P1046">
        <v>1.7068705354814178E-2</v>
      </c>
      <c r="Q1046">
        <v>4.7130182665823268E-4</v>
      </c>
      <c r="R1046">
        <v>5.5983569688211642E-4</v>
      </c>
      <c r="S1046">
        <v>6.1501082108616816E-2</v>
      </c>
      <c r="T1046">
        <v>1.0650412498848028</v>
      </c>
      <c r="U1046">
        <v>0</v>
      </c>
      <c r="V1046">
        <v>9.7681020292324033E-2</v>
      </c>
      <c r="W1046">
        <v>3.6466317967550975E-2</v>
      </c>
      <c r="X1046">
        <v>8.1451618269050164E-3</v>
      </c>
      <c r="Y1046">
        <v>1.5236882171252427E-3</v>
      </c>
    </row>
    <row r="1047" spans="1:25" x14ac:dyDescent="0.25">
      <c r="A1047" s="1096"/>
      <c r="B1047" s="1455">
        <v>797</v>
      </c>
      <c r="C1047" s="1100">
        <v>1.0406058750848268</v>
      </c>
      <c r="D1047" s="1100">
        <v>1.0159681085773078</v>
      </c>
      <c r="E1047" s="1100">
        <v>0.96458182519968927</v>
      </c>
      <c r="F1047" s="1100">
        <v>1.0084980947781867</v>
      </c>
      <c r="G1047" s="1100">
        <v>0.97951302119398409</v>
      </c>
      <c r="H1047" s="1100">
        <v>0.99050686196093518</v>
      </c>
      <c r="I1047" s="1100">
        <v>0.99761295685615192</v>
      </c>
      <c r="K1047">
        <v>1.3119522516606117</v>
      </c>
      <c r="L1047">
        <v>0</v>
      </c>
      <c r="M1047">
        <v>6.1168308992218235E-4</v>
      </c>
      <c r="N1047">
        <v>5.0530242051383775E-2</v>
      </c>
      <c r="O1047">
        <v>7.4036684613864468E-3</v>
      </c>
      <c r="P1047">
        <v>1.5870767933689814E-2</v>
      </c>
      <c r="Q1047">
        <v>4.1351645295223746E-4</v>
      </c>
      <c r="R1047">
        <v>6.0986081959125645E-4</v>
      </c>
      <c r="S1047">
        <v>5.7268067724837869E-2</v>
      </c>
      <c r="T1047">
        <v>1.042234146106563</v>
      </c>
      <c r="U1047">
        <v>0</v>
      </c>
      <c r="V1047">
        <v>9.572268073368137E-2</v>
      </c>
      <c r="W1047">
        <v>3.3911211425784488E-2</v>
      </c>
      <c r="X1047">
        <v>6.9399329302999926E-3</v>
      </c>
      <c r="Y1047">
        <v>1.6598401103622526E-3</v>
      </c>
    </row>
    <row r="1048" spans="1:25" x14ac:dyDescent="0.25">
      <c r="A1048" s="1096"/>
      <c r="B1048" s="1455">
        <v>798</v>
      </c>
      <c r="C1048" s="1100">
        <v>0.97697425564915352</v>
      </c>
      <c r="D1048" s="1100">
        <v>1.0307382569490617</v>
      </c>
      <c r="E1048" s="1100">
        <v>1.030072874086287</v>
      </c>
      <c r="F1048" s="1100">
        <v>1.0019157674974091</v>
      </c>
      <c r="G1048" s="1100">
        <v>0.98767619937721773</v>
      </c>
      <c r="H1048" s="1100">
        <v>1.0129067548791306</v>
      </c>
      <c r="I1048" s="1100">
        <v>0.98229827138882897</v>
      </c>
      <c r="K1048">
        <v>1.3218856422340772</v>
      </c>
      <c r="L1048">
        <v>0</v>
      </c>
      <c r="M1048">
        <v>5.7831256897905733E-4</v>
      </c>
      <c r="N1048">
        <v>5.8232292848874379E-2</v>
      </c>
      <c r="O1048">
        <v>7.8567317275858445E-3</v>
      </c>
      <c r="P1048">
        <v>1.6616526208696566E-2</v>
      </c>
      <c r="Q1048">
        <v>4.6872933840081803E-4</v>
      </c>
      <c r="R1048">
        <v>5.7662781309319848E-4</v>
      </c>
      <c r="S1048">
        <v>6.0341183515798834E-2</v>
      </c>
      <c r="T1048">
        <v>1.0334732168973748</v>
      </c>
      <c r="U1048">
        <v>0</v>
      </c>
      <c r="V1048">
        <v>9.7741125176837057E-2</v>
      </c>
      <c r="W1048">
        <v>3.7584876321854734E-2</v>
      </c>
      <c r="X1048">
        <v>8.0032541326065521E-3</v>
      </c>
      <c r="Y1048">
        <v>1.5693908219321867E-3</v>
      </c>
    </row>
    <row r="1049" spans="1:25" x14ac:dyDescent="0.25">
      <c r="A1049" s="1096"/>
      <c r="B1049" s="1455">
        <v>799</v>
      </c>
      <c r="C1049" s="1100">
        <v>1.0244132921239122</v>
      </c>
      <c r="D1049" s="1100">
        <v>1.0216851342757161</v>
      </c>
      <c r="E1049" s="1100">
        <v>0.99069882943086007</v>
      </c>
      <c r="F1049" s="1100">
        <v>1.013569551451369</v>
      </c>
      <c r="G1049" s="1100">
        <v>1.0037592134366642</v>
      </c>
      <c r="H1049" s="1100">
        <v>0.97349132068757471</v>
      </c>
      <c r="I1049" s="1100">
        <v>0.98583805175359207</v>
      </c>
      <c r="K1049">
        <v>1.3196367002973226</v>
      </c>
      <c r="L1049">
        <v>0</v>
      </c>
      <c r="M1049">
        <v>5.7728799849562375E-4</v>
      </c>
      <c r="N1049">
        <v>5.1608255643193074E-2</v>
      </c>
      <c r="O1049">
        <v>7.5100166175975213E-3</v>
      </c>
      <c r="P1049">
        <v>1.626518554778103E-2</v>
      </c>
      <c r="Q1049">
        <v>4.3075516536744901E-4</v>
      </c>
      <c r="R1049">
        <v>5.7553813462917023E-4</v>
      </c>
      <c r="S1049">
        <v>5.6842276874592458E-2</v>
      </c>
      <c r="T1049">
        <v>1.046669628885821</v>
      </c>
      <c r="U1049">
        <v>0</v>
      </c>
      <c r="V1049">
        <v>9.7300259746851178E-2</v>
      </c>
      <c r="W1049">
        <v>3.4091748777285297E-2</v>
      </c>
      <c r="X1049">
        <v>7.3538978263335917E-3</v>
      </c>
      <c r="Y1049">
        <v>1.5664250763655113E-3</v>
      </c>
    </row>
    <row r="1050" spans="1:25" x14ac:dyDescent="0.25">
      <c r="A1050" s="1096"/>
      <c r="B1050" s="1455">
        <v>800</v>
      </c>
      <c r="C1050" s="1100">
        <v>1.0008457186839619</v>
      </c>
      <c r="D1050" s="1100">
        <v>0.99420063018062022</v>
      </c>
      <c r="E1050" s="1100">
        <v>0.99292056404624629</v>
      </c>
      <c r="F1050" s="1100">
        <v>1.0036348597617206</v>
      </c>
      <c r="G1050" s="1100">
        <v>1.0313370144798704</v>
      </c>
      <c r="H1050" s="1100">
        <v>1.0157924050976344</v>
      </c>
      <c r="I1050" s="1100">
        <v>0.98476383465422301</v>
      </c>
      <c r="K1050">
        <v>1.3220546682037222</v>
      </c>
      <c r="L1050">
        <v>0</v>
      </c>
      <c r="M1050">
        <v>6.2045712722663931E-4</v>
      </c>
      <c r="N1050">
        <v>5.584834387888786E-2</v>
      </c>
      <c r="O1050">
        <v>7.7717114321632329E-3</v>
      </c>
      <c r="P1050">
        <v>1.6224438057393965E-2</v>
      </c>
      <c r="Q1050">
        <v>4.4676645647002814E-4</v>
      </c>
      <c r="R1050">
        <v>6.1865472948446508E-4</v>
      </c>
      <c r="S1050">
        <v>6.0252086958366396E-2</v>
      </c>
      <c r="T1050">
        <v>1.0363435852378913</v>
      </c>
      <c r="U1050">
        <v>0</v>
      </c>
      <c r="V1050">
        <v>9.9206384248169133E-2</v>
      </c>
      <c r="W1050">
        <v>3.6843696742322081E-2</v>
      </c>
      <c r="X1050">
        <v>7.4356833556197587E-3</v>
      </c>
      <c r="Y1050">
        <v>1.6837742341799489E-3</v>
      </c>
    </row>
    <row r="1051" spans="1:25" x14ac:dyDescent="0.25">
      <c r="A1051" s="1096"/>
      <c r="B1051" s="1455">
        <v>801</v>
      </c>
      <c r="C1051" s="1100">
        <v>0.98878023121294001</v>
      </c>
      <c r="D1051" s="1100">
        <v>1.0078277494137298</v>
      </c>
      <c r="E1051" s="1100">
        <v>0.998087195090261</v>
      </c>
      <c r="F1051" s="1100">
        <v>0.99249667985910039</v>
      </c>
      <c r="G1051" s="1100">
        <v>1.0196988549323183</v>
      </c>
      <c r="H1051" s="1100">
        <v>1.044730935820845</v>
      </c>
      <c r="I1051" s="1100">
        <v>0.99516185846347283</v>
      </c>
      <c r="K1051">
        <v>1.315689110443155</v>
      </c>
      <c r="L1051">
        <v>0</v>
      </c>
      <c r="M1051">
        <v>6.3556879852984033E-4</v>
      </c>
      <c r="N1051">
        <v>5.8113562261909682E-2</v>
      </c>
      <c r="O1051">
        <v>7.825102562927724E-3</v>
      </c>
      <c r="P1051">
        <v>1.6149997517372752E-2</v>
      </c>
      <c r="Q1051">
        <v>4.5218381669197717E-4</v>
      </c>
      <c r="R1051">
        <v>6.3377364361672222E-4</v>
      </c>
      <c r="S1051">
        <v>6.2075469586722248E-2</v>
      </c>
      <c r="T1051">
        <v>1.0246890902625416</v>
      </c>
      <c r="U1051">
        <v>0</v>
      </c>
      <c r="V1051">
        <v>9.8951324071012953E-2</v>
      </c>
      <c r="W1051">
        <v>3.822011917174236E-2</v>
      </c>
      <c r="X1051">
        <v>7.4891334126452264E-3</v>
      </c>
      <c r="Y1051">
        <v>1.7249229344992484E-3</v>
      </c>
    </row>
    <row r="1052" spans="1:25" x14ac:dyDescent="0.25">
      <c r="A1052" s="1096"/>
      <c r="B1052" s="1455">
        <v>802</v>
      </c>
      <c r="C1052" s="1100">
        <v>1.0035591328636788</v>
      </c>
      <c r="D1052" s="1100">
        <v>0.97963460581640005</v>
      </c>
      <c r="E1052" s="1100">
        <v>0.98469458534594978</v>
      </c>
      <c r="F1052" s="1100">
        <v>1.0324497717685988</v>
      </c>
      <c r="G1052" s="1100">
        <v>0.99481300323135913</v>
      </c>
      <c r="H1052" s="1100">
        <v>0.99356561831809753</v>
      </c>
      <c r="I1052" s="1100">
        <v>0.9902614802619315</v>
      </c>
      <c r="K1052">
        <v>1.3482182317786202</v>
      </c>
      <c r="L1052">
        <v>0</v>
      </c>
      <c r="M1052">
        <v>6.1928276104176061E-4</v>
      </c>
      <c r="N1052">
        <v>5.4369713187369245E-2</v>
      </c>
      <c r="O1052">
        <v>7.7945667477121545E-3</v>
      </c>
      <c r="P1052">
        <v>1.6503508644748675E-2</v>
      </c>
      <c r="Q1052">
        <v>4.4436773733590374E-4</v>
      </c>
      <c r="R1052">
        <v>6.1744353014269197E-4</v>
      </c>
      <c r="S1052">
        <v>6.0221098332916216E-2</v>
      </c>
      <c r="T1052">
        <v>1.0663532123635899</v>
      </c>
      <c r="U1052">
        <v>0</v>
      </c>
      <c r="V1052">
        <v>9.7363493497921949E-2</v>
      </c>
      <c r="W1052">
        <v>3.6045587609130979E-2</v>
      </c>
      <c r="X1052">
        <v>7.4440451399491675E-3</v>
      </c>
      <c r="Y1052">
        <v>1.6804777488433986E-3</v>
      </c>
    </row>
    <row r="1053" spans="1:25" x14ac:dyDescent="0.25">
      <c r="A1053" s="1096"/>
      <c r="B1053" s="1455">
        <v>803</v>
      </c>
      <c r="C1053" s="1100">
        <v>1.03306683469401</v>
      </c>
      <c r="D1053" s="1100">
        <v>1.0219982528372586</v>
      </c>
      <c r="E1053" s="1100">
        <v>1.0178078450761276</v>
      </c>
      <c r="F1053" s="1100">
        <v>1.0076524837982761</v>
      </c>
      <c r="G1053" s="1100">
        <v>0.99514700845898951</v>
      </c>
      <c r="H1053" s="1100">
        <v>0.99009366145086308</v>
      </c>
      <c r="I1053" s="1100">
        <v>1.0134474440106138</v>
      </c>
      <c r="K1053">
        <v>1.3166269138902074</v>
      </c>
      <c r="L1053">
        <v>0</v>
      </c>
      <c r="M1053">
        <v>5.5029165500987127E-4</v>
      </c>
      <c r="N1053">
        <v>5.3394962409784461E-2</v>
      </c>
      <c r="O1053">
        <v>7.4525857205089705E-3</v>
      </c>
      <c r="P1053">
        <v>1.6514739592845794E-2</v>
      </c>
      <c r="Q1053">
        <v>4.3924133541505802E-4</v>
      </c>
      <c r="R1053">
        <v>5.4865159225869471E-4</v>
      </c>
      <c r="S1053">
        <v>5.8453687521592496E-2</v>
      </c>
      <c r="T1053">
        <v>1.0397497032196983</v>
      </c>
      <c r="U1053">
        <v>0</v>
      </c>
      <c r="V1053">
        <v>9.6710948575089661E-2</v>
      </c>
      <c r="W1053">
        <v>3.4710131800033545E-2</v>
      </c>
      <c r="X1053">
        <v>7.7093050068102508E-3</v>
      </c>
      <c r="Y1053">
        <v>1.493248771179387E-3</v>
      </c>
    </row>
    <row r="1054" spans="1:25" x14ac:dyDescent="0.25">
      <c r="A1054" s="1096"/>
      <c r="B1054" s="1455">
        <v>804</v>
      </c>
      <c r="C1054" s="1100">
        <v>1.0066189739117204</v>
      </c>
      <c r="D1054" s="1100">
        <v>1.0392529682047156</v>
      </c>
      <c r="E1054" s="1100">
        <v>1.0190840347943715</v>
      </c>
      <c r="F1054" s="1100">
        <v>0.99852460612161942</v>
      </c>
      <c r="G1054" s="1100">
        <v>1.0240770667477548</v>
      </c>
      <c r="H1054" s="1100">
        <v>0.98562275763568508</v>
      </c>
      <c r="I1054" s="1100">
        <v>1.0282359443987121</v>
      </c>
      <c r="K1054">
        <v>1.3124557898110401</v>
      </c>
      <c r="L1054">
        <v>0</v>
      </c>
      <c r="M1054">
        <v>5.5696679937112875E-4</v>
      </c>
      <c r="N1054">
        <v>5.4250406456065596E-2</v>
      </c>
      <c r="O1054">
        <v>7.5976521572998119E-3</v>
      </c>
      <c r="P1054">
        <v>1.6451491029606757E-2</v>
      </c>
      <c r="Q1054">
        <v>4.4836024494588966E-4</v>
      </c>
      <c r="R1054">
        <v>5.5529931257563485E-4</v>
      </c>
      <c r="S1054">
        <v>6.0184860779520621E-2</v>
      </c>
      <c r="T1054">
        <v>1.0302938396417678</v>
      </c>
      <c r="U1054">
        <v>0</v>
      </c>
      <c r="V1054">
        <v>9.8742585734711216E-2</v>
      </c>
      <c r="W1054">
        <v>3.5239871523545414E-2</v>
      </c>
      <c r="X1054">
        <v>7.7370480559108973E-3</v>
      </c>
      <c r="Y1054">
        <v>1.5113416744616847E-3</v>
      </c>
    </row>
    <row r="1055" spans="1:25" x14ac:dyDescent="0.25">
      <c r="A1055" s="1096"/>
      <c r="B1055" s="1455">
        <v>805</v>
      </c>
      <c r="C1055" s="1100">
        <v>0.9830998299953716</v>
      </c>
      <c r="D1055" s="1100">
        <v>0.98462569297520752</v>
      </c>
      <c r="E1055" s="1100">
        <v>1.0199979308347622</v>
      </c>
      <c r="F1055" s="1100">
        <v>0.99611162274455689</v>
      </c>
      <c r="G1055" s="1100">
        <v>1.0123897049380184</v>
      </c>
      <c r="H1055" s="1100">
        <v>0.9904414056164611</v>
      </c>
      <c r="I1055" s="1100">
        <v>0.99448965111160725</v>
      </c>
      <c r="K1055">
        <v>1.3164950465977869</v>
      </c>
      <c r="L1055">
        <v>0</v>
      </c>
      <c r="M1055">
        <v>5.8447932057918641E-4</v>
      </c>
      <c r="N1055">
        <v>5.7088230931211029E-2</v>
      </c>
      <c r="O1055">
        <v>7.9494946836555381E-3</v>
      </c>
      <c r="P1055">
        <v>1.6446333878971157E-2</v>
      </c>
      <c r="Q1055">
        <v>4.6955004883885305E-4</v>
      </c>
      <c r="R1055">
        <v>5.8273797815612592E-4</v>
      </c>
      <c r="S1055">
        <v>6.1506430376341945E-2</v>
      </c>
      <c r="T1055">
        <v>1.0277775164323721</v>
      </c>
      <c r="U1055">
        <v>0</v>
      </c>
      <c r="V1055">
        <v>9.8767328707615412E-2</v>
      </c>
      <c r="W1055">
        <v>3.7063430476610981E-2</v>
      </c>
      <c r="X1055">
        <v>7.8424517275764109E-3</v>
      </c>
      <c r="Y1055">
        <v>1.5860206770181033E-3</v>
      </c>
    </row>
    <row r="1056" spans="1:25" x14ac:dyDescent="0.25">
      <c r="A1056" s="1096"/>
      <c r="B1056" s="1455">
        <v>806</v>
      </c>
      <c r="C1056" s="1100">
        <v>0.99887350849618939</v>
      </c>
      <c r="D1056" s="1100">
        <v>1.0126206447303878</v>
      </c>
      <c r="E1056" s="1100">
        <v>0.98893988511790587</v>
      </c>
      <c r="F1056" s="1100">
        <v>1.0001830339700657</v>
      </c>
      <c r="G1056" s="1100">
        <v>1.0133437108579608</v>
      </c>
      <c r="H1056" s="1100">
        <v>0.96295840848343828</v>
      </c>
      <c r="I1056" s="1100">
        <v>1.000718828405049</v>
      </c>
      <c r="K1056">
        <v>1.3107554887050397</v>
      </c>
      <c r="L1056">
        <v>0</v>
      </c>
      <c r="M1056">
        <v>5.8987887819519078E-4</v>
      </c>
      <c r="N1056">
        <v>5.2452406814998048E-2</v>
      </c>
      <c r="O1056">
        <v>7.7291119750184881E-3</v>
      </c>
      <c r="P1056">
        <v>1.6103075617254596E-2</v>
      </c>
      <c r="Q1056">
        <v>4.4253435749590209E-4</v>
      </c>
      <c r="R1056">
        <v>5.8807129150735245E-4</v>
      </c>
      <c r="S1056">
        <v>5.9137600715181718E-2</v>
      </c>
      <c r="T1056">
        <v>1.0328988479469778</v>
      </c>
      <c r="U1056">
        <v>0</v>
      </c>
      <c r="V1056">
        <v>9.8380406139637694E-2</v>
      </c>
      <c r="W1056">
        <v>3.468591919881206E-2</v>
      </c>
      <c r="X1056">
        <v>7.3268573285159557E-3</v>
      </c>
      <c r="Y1056">
        <v>1.6005361978338678E-3</v>
      </c>
    </row>
    <row r="1057" spans="1:25" x14ac:dyDescent="0.25">
      <c r="A1057" s="1096"/>
      <c r="B1057" s="1455">
        <v>807</v>
      </c>
      <c r="C1057" s="1100">
        <v>1.0278811725931734</v>
      </c>
      <c r="D1057" s="1100">
        <v>1.0369768946508113</v>
      </c>
      <c r="E1057" s="1100">
        <v>1.0162658124691717</v>
      </c>
      <c r="F1057" s="1100">
        <v>1.0147517293340089</v>
      </c>
      <c r="G1057" s="1100">
        <v>0.98879281962055887</v>
      </c>
      <c r="H1057" s="1100">
        <v>0.99522498247013436</v>
      </c>
      <c r="I1057" s="1100">
        <v>1.0150504771148881</v>
      </c>
      <c r="K1057">
        <v>1.3242825320941953</v>
      </c>
      <c r="L1057">
        <v>0</v>
      </c>
      <c r="M1057">
        <v>5.5448351867379503E-4</v>
      </c>
      <c r="N1057">
        <v>5.3552768278276069E-2</v>
      </c>
      <c r="O1057">
        <v>7.446354264048367E-3</v>
      </c>
      <c r="P1057">
        <v>1.659632088372235E-2</v>
      </c>
      <c r="Q1057">
        <v>4.3820068852601092E-4</v>
      </c>
      <c r="R1057">
        <v>5.5283948317467861E-4</v>
      </c>
      <c r="S1057">
        <v>5.8535340376888442E-2</v>
      </c>
      <c r="T1057">
        <v>1.0471208678025645</v>
      </c>
      <c r="U1057">
        <v>0</v>
      </c>
      <c r="V1057">
        <v>9.6522868695165062E-2</v>
      </c>
      <c r="W1057">
        <v>3.4844210223213837E-2</v>
      </c>
      <c r="X1057">
        <v>7.7225980875731803E-3</v>
      </c>
      <c r="Y1057">
        <v>1.5046468297148258E-3</v>
      </c>
    </row>
    <row r="1058" spans="1:25" x14ac:dyDescent="0.25">
      <c r="A1058" s="1096"/>
      <c r="B1058" s="1455">
        <v>808</v>
      </c>
      <c r="C1058" s="1100">
        <v>0.99748072248292807</v>
      </c>
      <c r="D1058" s="1100">
        <v>0.962276730678851</v>
      </c>
      <c r="E1058" s="1100">
        <v>0.99399614212099741</v>
      </c>
      <c r="F1058" s="1100">
        <v>0.98348334634732681</v>
      </c>
      <c r="G1058" s="1100">
        <v>0.9804555845320102</v>
      </c>
      <c r="H1058" s="1100">
        <v>1.0156904217861522</v>
      </c>
      <c r="I1058" s="1100">
        <v>1.0076866748197739</v>
      </c>
      <c r="K1058">
        <v>1.3029806938877773</v>
      </c>
      <c r="L1058">
        <v>0</v>
      </c>
      <c r="M1058">
        <v>6.2926338278719237E-4</v>
      </c>
      <c r="N1058">
        <v>5.6825438589020776E-2</v>
      </c>
      <c r="O1058">
        <v>7.9006654433163796E-3</v>
      </c>
      <c r="P1058">
        <v>1.5958974384386145E-2</v>
      </c>
      <c r="Q1058">
        <v>4.5467262323615115E-4</v>
      </c>
      <c r="R1058">
        <v>6.2743521975789892E-4</v>
      </c>
      <c r="S1058">
        <v>6.2952011891844642E-2</v>
      </c>
      <c r="T1058">
        <v>1.0155036363752676</v>
      </c>
      <c r="U1058">
        <v>0</v>
      </c>
      <c r="V1058">
        <v>9.682973084930166E-2</v>
      </c>
      <c r="W1058">
        <v>3.7464214268087395E-2</v>
      </c>
      <c r="X1058">
        <v>7.3855057921290487E-3</v>
      </c>
      <c r="Y1058">
        <v>1.7076718342163956E-3</v>
      </c>
    </row>
    <row r="1059" spans="1:25" x14ac:dyDescent="0.25">
      <c r="A1059" s="1096"/>
      <c r="B1059" s="1455">
        <v>809</v>
      </c>
      <c r="C1059" s="1100">
        <v>1.0358116238165573</v>
      </c>
      <c r="D1059" s="1100">
        <v>1.0326066919246855</v>
      </c>
      <c r="E1059" s="1100">
        <v>1.0048121812367414</v>
      </c>
      <c r="F1059" s="1100">
        <v>1.005005635627267</v>
      </c>
      <c r="G1059" s="1100">
        <v>0.99626193664211604</v>
      </c>
      <c r="H1059" s="1100">
        <v>1.0008947691164205</v>
      </c>
      <c r="I1059" s="1100">
        <v>0.98150286712750534</v>
      </c>
      <c r="K1059">
        <v>1.3113487818140661</v>
      </c>
      <c r="L1059">
        <v>0</v>
      </c>
      <c r="M1059">
        <v>5.6765759003421892E-4</v>
      </c>
      <c r="N1059">
        <v>5.2962733882792636E-2</v>
      </c>
      <c r="O1059">
        <v>7.3991522981953573E-3</v>
      </c>
      <c r="P1059">
        <v>1.6297039705140511E-2</v>
      </c>
      <c r="Q1059">
        <v>4.3046747472986894E-4</v>
      </c>
      <c r="R1059">
        <v>5.6598402787345155E-4</v>
      </c>
      <c r="S1059">
        <v>5.6446156667918509E-2</v>
      </c>
      <c r="T1059">
        <v>1.0374029038401196</v>
      </c>
      <c r="U1059">
        <v>0</v>
      </c>
      <c r="V1059">
        <v>9.6686931781764601E-2</v>
      </c>
      <c r="W1059">
        <v>3.4693735049988648E-2</v>
      </c>
      <c r="X1059">
        <v>7.490912728290511E-3</v>
      </c>
      <c r="Y1059">
        <v>1.5404219472868901E-3</v>
      </c>
    </row>
    <row r="1060" spans="1:25" x14ac:dyDescent="0.25">
      <c r="A1060" s="1096"/>
      <c r="B1060" s="1455">
        <v>810</v>
      </c>
      <c r="C1060" s="1100">
        <v>1.0082857228740667</v>
      </c>
      <c r="D1060" s="1100">
        <v>1.0071466943799932</v>
      </c>
      <c r="E1060" s="1100">
        <v>0.99397422646290912</v>
      </c>
      <c r="F1060" s="1100">
        <v>1.0040904674286224</v>
      </c>
      <c r="G1060" s="1100">
        <v>1.0097452730421659</v>
      </c>
      <c r="H1060" s="1100">
        <v>0.99497808810275667</v>
      </c>
      <c r="I1060" s="1100">
        <v>1.0019197489434353</v>
      </c>
      <c r="K1060">
        <v>1.3176595542649243</v>
      </c>
      <c r="L1060">
        <v>0</v>
      </c>
      <c r="M1060">
        <v>5.9883632864178907E-4</v>
      </c>
      <c r="N1060">
        <v>5.4070870825282766E-2</v>
      </c>
      <c r="O1060">
        <v>7.6748017420320098E-3</v>
      </c>
      <c r="P1060">
        <v>1.6220444526720099E-2</v>
      </c>
      <c r="Q1060">
        <v>4.4166471026506842E-4</v>
      </c>
      <c r="R1060">
        <v>5.9706034712810453E-4</v>
      </c>
      <c r="S1060">
        <v>5.98008378916128E-2</v>
      </c>
      <c r="T1060">
        <v>1.0367823438641712</v>
      </c>
      <c r="U1060">
        <v>0</v>
      </c>
      <c r="V1060">
        <v>9.798037026517678E-2</v>
      </c>
      <c r="W1060">
        <v>3.5648632943067124E-2</v>
      </c>
      <c r="X1060">
        <v>7.4163620341184148E-3</v>
      </c>
      <c r="Y1060">
        <v>1.6250014439921666E-3</v>
      </c>
    </row>
    <row r="1061" spans="1:25" x14ac:dyDescent="0.25">
      <c r="A1061" s="1096"/>
      <c r="B1061" s="1455">
        <v>811</v>
      </c>
      <c r="C1061" s="1100">
        <v>0.98488184414453672</v>
      </c>
      <c r="D1061" s="1100">
        <v>0.99232516694072948</v>
      </c>
      <c r="E1061" s="1100">
        <v>0.99821459825785674</v>
      </c>
      <c r="F1061" s="1100">
        <v>1.0139220991097326</v>
      </c>
      <c r="G1061" s="1100">
        <v>1.0274841437914619</v>
      </c>
      <c r="H1061" s="1100">
        <v>0.9865736107760803</v>
      </c>
      <c r="I1061" s="1100">
        <v>1.0274591402528046</v>
      </c>
      <c r="K1061">
        <v>1.3352219879482061</v>
      </c>
      <c r="L1061">
        <v>0</v>
      </c>
      <c r="M1061">
        <v>6.0615184967484283E-4</v>
      </c>
      <c r="N1061">
        <v>5.5435890857997341E-2</v>
      </c>
      <c r="O1061">
        <v>7.9049723253577456E-3</v>
      </c>
      <c r="P1061">
        <v>1.6472134579745862E-2</v>
      </c>
      <c r="Q1061">
        <v>4.5685775843856436E-4</v>
      </c>
      <c r="R1061">
        <v>6.0433885821439251E-4</v>
      </c>
      <c r="S1061">
        <v>6.3019793098636506E-2</v>
      </c>
      <c r="T1061">
        <v>1.0468056077564143</v>
      </c>
      <c r="U1061">
        <v>0</v>
      </c>
      <c r="V1061">
        <v>9.9427297594158179E-2</v>
      </c>
      <c r="W1061">
        <v>3.6456303969286522E-2</v>
      </c>
      <c r="X1061">
        <v>7.6001318478229885E-3</v>
      </c>
      <c r="Y1061">
        <v>1.6448111518085078E-3</v>
      </c>
    </row>
    <row r="1062" spans="1:25" x14ac:dyDescent="0.25">
      <c r="A1062" s="1096"/>
      <c r="B1062" s="1455">
        <v>812</v>
      </c>
      <c r="C1062" s="1100">
        <v>1.0008437921894773</v>
      </c>
      <c r="D1062" s="1100">
        <v>0.98907456212183642</v>
      </c>
      <c r="E1062" s="1100">
        <v>0.98548991674634467</v>
      </c>
      <c r="F1062" s="1100">
        <v>0.98393755457524024</v>
      </c>
      <c r="G1062" s="1100">
        <v>1.0307966940660052</v>
      </c>
      <c r="H1062" s="1100">
        <v>1.0001743725867114</v>
      </c>
      <c r="I1062" s="1100">
        <v>1.0109802092772484</v>
      </c>
      <c r="K1062">
        <v>1.3009309862258072</v>
      </c>
      <c r="L1062">
        <v>0</v>
      </c>
      <c r="M1062">
        <v>6.2167592911262779E-4</v>
      </c>
      <c r="N1062">
        <v>5.471234727579756E-2</v>
      </c>
      <c r="O1062">
        <v>7.7859854066341522E-3</v>
      </c>
      <c r="P1062">
        <v>1.5879312868905066E-2</v>
      </c>
      <c r="Q1062">
        <v>4.4423646479455227E-4</v>
      </c>
      <c r="R1062">
        <v>6.198417905245616E-4</v>
      </c>
      <c r="S1062">
        <v>6.1536546168800194E-2</v>
      </c>
      <c r="T1062">
        <v>1.0162243165557707</v>
      </c>
      <c r="U1062">
        <v>0</v>
      </c>
      <c r="V1062">
        <v>9.9171968854349229E-2</v>
      </c>
      <c r="W1062">
        <v>3.6255399024916868E-2</v>
      </c>
      <c r="X1062">
        <v>7.2357027214098157E-3</v>
      </c>
      <c r="Y1062">
        <v>1.6870050230165252E-3</v>
      </c>
    </row>
    <row r="1063" spans="1:25" x14ac:dyDescent="0.25">
      <c r="A1063" s="1096"/>
      <c r="B1063" s="1455">
        <v>813</v>
      </c>
      <c r="C1063" s="1100">
        <v>1.0368694909095344</v>
      </c>
      <c r="D1063" s="1100">
        <v>0.98842675674252822</v>
      </c>
      <c r="E1063" s="1100">
        <v>0.97466965275364359</v>
      </c>
      <c r="F1063" s="1100">
        <v>1.0239763227145393</v>
      </c>
      <c r="G1063" s="1100">
        <v>0.97329873361200425</v>
      </c>
      <c r="H1063" s="1100">
        <v>0.97827895774424833</v>
      </c>
      <c r="I1063" s="1100">
        <v>1.0292722238782397</v>
      </c>
      <c r="K1063">
        <v>1.3314754141251546</v>
      </c>
      <c r="L1063">
        <v>0</v>
      </c>
      <c r="M1063">
        <v>6.0037703703864941E-4</v>
      </c>
      <c r="N1063">
        <v>5.1132680893043847E-2</v>
      </c>
      <c r="O1063">
        <v>7.5148683011856624E-3</v>
      </c>
      <c r="P1063">
        <v>1.6235229921335151E-2</v>
      </c>
      <c r="Q1063">
        <v>4.2407820858787997E-4</v>
      </c>
      <c r="R1063">
        <v>5.9856609237748286E-4</v>
      </c>
      <c r="S1063">
        <v>5.9817430727626117E-2</v>
      </c>
      <c r="T1063">
        <v>1.0579132941571778</v>
      </c>
      <c r="U1063">
        <v>0</v>
      </c>
      <c r="V1063">
        <v>9.5518783991975026E-2</v>
      </c>
      <c r="W1063">
        <v>3.4105405074410879E-2</v>
      </c>
      <c r="X1063">
        <v>7.1863542082808802E-3</v>
      </c>
      <c r="Y1063">
        <v>1.6290995861921861E-3</v>
      </c>
    </row>
    <row r="1064" spans="1:25" x14ac:dyDescent="0.25">
      <c r="A1064" s="1096"/>
      <c r="B1064" s="1455">
        <v>814</v>
      </c>
      <c r="C1064" s="1100">
        <v>0.96720694387377626</v>
      </c>
      <c r="D1064" s="1100">
        <v>1.0028408060083878</v>
      </c>
      <c r="E1064" s="1100">
        <v>0.99575954061997385</v>
      </c>
      <c r="F1064" s="1100">
        <v>0.98952166584404244</v>
      </c>
      <c r="G1064" s="1100">
        <v>1.0206679689332181</v>
      </c>
      <c r="H1064" s="1100">
        <v>0.99310651656483839</v>
      </c>
      <c r="I1064" s="1100">
        <v>0.97888896651717805</v>
      </c>
      <c r="K1064">
        <v>1.3095668774718379</v>
      </c>
      <c r="L1064">
        <v>0</v>
      </c>
      <c r="M1064">
        <v>6.2185900481780728E-4</v>
      </c>
      <c r="N1064">
        <v>5.6453140533921219E-2</v>
      </c>
      <c r="O1064">
        <v>8.0149381647416154E-3</v>
      </c>
      <c r="P1064">
        <v>1.6074539483843794E-2</v>
      </c>
      <c r="Q1064">
        <v>4.6206949399961054E-4</v>
      </c>
      <c r="R1064">
        <v>6.2001126884410308E-4</v>
      </c>
      <c r="S1064">
        <v>6.0991831983554907E-2</v>
      </c>
      <c r="T1064">
        <v>1.0216863474598017</v>
      </c>
      <c r="U1064">
        <v>0</v>
      </c>
      <c r="V1064">
        <v>9.9554595947944857E-2</v>
      </c>
      <c r="W1064">
        <v>3.7179618061417584E-2</v>
      </c>
      <c r="X1064">
        <v>7.4641777914527929E-3</v>
      </c>
      <c r="Y1064">
        <v>1.6874662871338038E-3</v>
      </c>
    </row>
    <row r="1065" spans="1:25" x14ac:dyDescent="0.25">
      <c r="A1065" s="1096"/>
      <c r="B1065" s="1455">
        <v>815</v>
      </c>
      <c r="C1065" s="1100">
        <v>1.0021332168150727</v>
      </c>
      <c r="D1065" s="1100">
        <v>0.97230337328457161</v>
      </c>
      <c r="E1065" s="1100">
        <v>0.9889777646262442</v>
      </c>
      <c r="F1065" s="1100">
        <v>0.96015367068016311</v>
      </c>
      <c r="G1065" s="1100">
        <v>0.96211722363805652</v>
      </c>
      <c r="H1065" s="1100">
        <v>1.0241942822688377</v>
      </c>
      <c r="I1065" s="1100">
        <v>1.0014074159576591</v>
      </c>
      <c r="K1065">
        <v>1.2762015387499366</v>
      </c>
      <c r="L1065">
        <v>0</v>
      </c>
      <c r="M1065">
        <v>6.3554547248339491E-4</v>
      </c>
      <c r="N1065">
        <v>5.6529969701401984E-2</v>
      </c>
      <c r="O1065">
        <v>7.8302053234220129E-3</v>
      </c>
      <c r="P1065">
        <v>1.5550917623045644E-2</v>
      </c>
      <c r="Q1065">
        <v>4.4833968545864613E-4</v>
      </c>
      <c r="R1065">
        <v>6.3371438918830741E-4</v>
      </c>
      <c r="S1065">
        <v>6.2181488759720682E-2</v>
      </c>
      <c r="T1065">
        <v>0.99155903656433597</v>
      </c>
      <c r="U1065">
        <v>0</v>
      </c>
      <c r="V1065">
        <v>9.5821761233073358E-2</v>
      </c>
      <c r="W1065">
        <v>3.7381495906142918E-2</v>
      </c>
      <c r="X1065">
        <v>7.1753933731523627E-3</v>
      </c>
      <c r="Y1065">
        <v>1.7247616634783207E-3</v>
      </c>
    </row>
    <row r="1066" spans="1:25" x14ac:dyDescent="0.25">
      <c r="A1066" s="1096"/>
      <c r="B1066" s="1455">
        <v>816</v>
      </c>
      <c r="C1066" s="1100">
        <v>0.98551054987610121</v>
      </c>
      <c r="D1066" s="1100">
        <v>1.0009509234149383</v>
      </c>
      <c r="E1066" s="1100">
        <v>1.0231445803628338</v>
      </c>
      <c r="F1066" s="1100">
        <v>1.0028202380713276</v>
      </c>
      <c r="G1066" s="1100">
        <v>0.98133359306024603</v>
      </c>
      <c r="H1066" s="1100">
        <v>1.0101292840992158</v>
      </c>
      <c r="I1066" s="1100">
        <v>0.97991128132062189</v>
      </c>
      <c r="K1066">
        <v>1.3221014952329717</v>
      </c>
      <c r="L1066">
        <v>0</v>
      </c>
      <c r="M1066">
        <v>5.8688494558580071E-4</v>
      </c>
      <c r="N1066">
        <v>5.7873250637331237E-2</v>
      </c>
      <c r="O1066">
        <v>7.8788448649634354E-3</v>
      </c>
      <c r="P1066">
        <v>1.6543732245164741E-2</v>
      </c>
      <c r="Q1066">
        <v>4.6683382083493642E-4</v>
      </c>
      <c r="R1066">
        <v>5.8517051531555887E-4</v>
      </c>
      <c r="S1066">
        <v>6.0525629251960804E-2</v>
      </c>
      <c r="T1066">
        <v>1.0346074924534046</v>
      </c>
      <c r="U1066">
        <v>0</v>
      </c>
      <c r="V1066">
        <v>9.7206585952110527E-2</v>
      </c>
      <c r="W1066">
        <v>3.750406774876304E-2</v>
      </c>
      <c r="X1066">
        <v>7.9041314474284797E-3</v>
      </c>
      <c r="Y1066">
        <v>1.5926412412804209E-3</v>
      </c>
    </row>
    <row r="1067" spans="1:25" x14ac:dyDescent="0.25">
      <c r="A1067" s="1096"/>
      <c r="B1067" s="1455">
        <v>817</v>
      </c>
      <c r="C1067" s="1100">
        <v>0.99217982480185374</v>
      </c>
      <c r="D1067" s="1100">
        <v>1.0223119399006746</v>
      </c>
      <c r="E1067" s="1100">
        <v>1.0118475251301902</v>
      </c>
      <c r="F1067" s="1100">
        <v>1.0053762517855345</v>
      </c>
      <c r="G1067" s="1100">
        <v>0.99392750838444655</v>
      </c>
      <c r="H1067" s="1100">
        <v>1.0251507598261591</v>
      </c>
      <c r="I1067" s="1100">
        <v>0.96864490742350884</v>
      </c>
      <c r="K1067">
        <v>1.3229776591490321</v>
      </c>
      <c r="L1067">
        <v>0</v>
      </c>
      <c r="M1067">
        <v>6.0057984143361697E-4</v>
      </c>
      <c r="N1067">
        <v>5.7241432136085457E-2</v>
      </c>
      <c r="O1067">
        <v>7.7572838649826413E-3</v>
      </c>
      <c r="P1067">
        <v>1.6435412487768281E-2</v>
      </c>
      <c r="Q1067">
        <v>4.5449089560087921E-4</v>
      </c>
      <c r="R1067">
        <v>5.9885111277643952E-4</v>
      </c>
      <c r="S1067">
        <v>5.9192828719448205E-2</v>
      </c>
      <c r="T1067">
        <v>1.0375766869956065</v>
      </c>
      <c r="U1067">
        <v>0</v>
      </c>
      <c r="V1067">
        <v>9.7634127954946803E-2</v>
      </c>
      <c r="W1067">
        <v>3.7341097220278979E-2</v>
      </c>
      <c r="X1067">
        <v>7.7161522852105405E-3</v>
      </c>
      <c r="Y1067">
        <v>1.6298753177611972E-3</v>
      </c>
    </row>
    <row r="1068" spans="1:25" x14ac:dyDescent="0.25">
      <c r="A1068" s="1096"/>
      <c r="B1068" s="1455">
        <v>818</v>
      </c>
      <c r="C1068" s="1100">
        <v>1.012597483530814</v>
      </c>
      <c r="D1068" s="1100">
        <v>1.0244873159907608</v>
      </c>
      <c r="E1068" s="1100">
        <v>1.0053470905497526</v>
      </c>
      <c r="F1068" s="1100">
        <v>0.97380653513313431</v>
      </c>
      <c r="G1068" s="1100">
        <v>1.0231797724254044</v>
      </c>
      <c r="H1068" s="1100">
        <v>1.0226747328585593</v>
      </c>
      <c r="I1068" s="1100">
        <v>1.0150552600722944</v>
      </c>
      <c r="K1068">
        <v>1.28931987877277</v>
      </c>
      <c r="L1068">
        <v>0</v>
      </c>
      <c r="M1068">
        <v>5.9452288269047561E-4</v>
      </c>
      <c r="N1068">
        <v>5.5562459282644104E-2</v>
      </c>
      <c r="O1068">
        <v>7.5928460505609663E-3</v>
      </c>
      <c r="P1068">
        <v>1.5944972170249951E-2</v>
      </c>
      <c r="Q1068">
        <v>4.4197308892819528E-4</v>
      </c>
      <c r="R1068">
        <v>5.9280744531845105E-4</v>
      </c>
      <c r="S1068">
        <v>6.0627803264754705E-2</v>
      </c>
      <c r="T1068">
        <v>1.0051826462472562</v>
      </c>
      <c r="U1068">
        <v>0</v>
      </c>
      <c r="V1068">
        <v>9.8538329177439848E-2</v>
      </c>
      <c r="W1068">
        <v>3.6385186371919211E-2</v>
      </c>
      <c r="X1068">
        <v>7.4319521091514478E-3</v>
      </c>
      <c r="Y1068">
        <v>1.613426447234995E-3</v>
      </c>
    </row>
    <row r="1069" spans="1:25" x14ac:dyDescent="0.25">
      <c r="A1069" s="1096"/>
      <c r="B1069" s="1455">
        <v>819</v>
      </c>
      <c r="C1069" s="1100">
        <v>0.97015229411599035</v>
      </c>
      <c r="D1069" s="1100">
        <v>1.0011446047405006</v>
      </c>
      <c r="E1069" s="1100">
        <v>1.0428970323743159</v>
      </c>
      <c r="F1069" s="1100">
        <v>1.0028240275510316</v>
      </c>
      <c r="G1069" s="1100">
        <v>1.0309406220234612</v>
      </c>
      <c r="H1069" s="1100">
        <v>1.0076967122770926</v>
      </c>
      <c r="I1069" s="1100">
        <v>0.97559778452754242</v>
      </c>
      <c r="K1069">
        <v>1.3283407673078704</v>
      </c>
      <c r="L1069">
        <v>0</v>
      </c>
      <c r="M1069">
        <v>5.7070304503348095E-4</v>
      </c>
      <c r="N1069">
        <v>5.9729167353267568E-2</v>
      </c>
      <c r="O1069">
        <v>8.0079740104538593E-3</v>
      </c>
      <c r="P1069">
        <v>1.6822773729956476E-2</v>
      </c>
      <c r="Q1069">
        <v>4.8382670236839985E-4</v>
      </c>
      <c r="R1069">
        <v>5.6903186142806788E-4</v>
      </c>
      <c r="S1069">
        <v>6.1151677523235907E-2</v>
      </c>
      <c r="T1069">
        <v>1.0340411952161699</v>
      </c>
      <c r="U1069">
        <v>0</v>
      </c>
      <c r="V1069">
        <v>0.10002781567617187</v>
      </c>
      <c r="W1069">
        <v>3.8266535058607498E-2</v>
      </c>
      <c r="X1069">
        <v>8.2627560757399816E-3</v>
      </c>
      <c r="Y1069">
        <v>1.5487171455044948E-3</v>
      </c>
    </row>
    <row r="1070" spans="1:25" x14ac:dyDescent="0.25">
      <c r="A1070" s="1096"/>
      <c r="B1070" s="1455">
        <v>820</v>
      </c>
      <c r="C1070" s="1100">
        <v>1.0134666009213908</v>
      </c>
      <c r="D1070" s="1100">
        <v>1.0236664873766743</v>
      </c>
      <c r="E1070" s="1100">
        <v>1.0112165336431187</v>
      </c>
      <c r="F1070" s="1100">
        <v>1.0009999697335488</v>
      </c>
      <c r="G1070" s="1100">
        <v>0.98760900793404749</v>
      </c>
      <c r="H1070" s="1100">
        <v>1.0123398420898022</v>
      </c>
      <c r="I1070" s="1100">
        <v>1.0060023154689681</v>
      </c>
      <c r="K1070">
        <v>1.3145908622697851</v>
      </c>
      <c r="L1070">
        <v>0</v>
      </c>
      <c r="M1070">
        <v>5.8107168999874462E-4</v>
      </c>
      <c r="N1070">
        <v>5.5274696925650783E-2</v>
      </c>
      <c r="O1070">
        <v>7.5901775488397757E-3</v>
      </c>
      <c r="P1070">
        <v>1.6362218229240302E-2</v>
      </c>
      <c r="Q1070">
        <v>4.4442014134361818E-4</v>
      </c>
      <c r="R1070">
        <v>5.7937794819789006E-4</v>
      </c>
      <c r="S1070">
        <v>5.9756561117202622E-2</v>
      </c>
      <c r="T1070">
        <v>1.0330788239492135</v>
      </c>
      <c r="U1070">
        <v>0</v>
      </c>
      <c r="V1070">
        <v>9.6802991968697558E-2</v>
      </c>
      <c r="W1070">
        <v>3.6071512398161733E-2</v>
      </c>
      <c r="X1070">
        <v>7.6342779501293832E-3</v>
      </c>
      <c r="Y1070">
        <v>1.5768757831053641E-3</v>
      </c>
    </row>
    <row r="1071" spans="1:25" x14ac:dyDescent="0.25">
      <c r="A1071" s="1096"/>
      <c r="B1071" s="1455">
        <v>821</v>
      </c>
      <c r="C1071" s="1100">
        <v>1.0032259645565245</v>
      </c>
      <c r="D1071" s="1100">
        <v>0.99263169244892591</v>
      </c>
      <c r="E1071" s="1100">
        <v>0.99519565058537818</v>
      </c>
      <c r="F1071" s="1100">
        <v>0.99207659786002278</v>
      </c>
      <c r="G1071" s="1100">
        <v>0.97141892887215542</v>
      </c>
      <c r="H1071" s="1100">
        <v>0.97570648999246146</v>
      </c>
      <c r="I1071" s="1100">
        <v>1.0149865082730765</v>
      </c>
      <c r="K1071">
        <v>1.3036240257758422</v>
      </c>
      <c r="L1071">
        <v>0</v>
      </c>
      <c r="M1071">
        <v>5.9213550714304851E-4</v>
      </c>
      <c r="N1071">
        <v>5.3660421251859013E-2</v>
      </c>
      <c r="O1071">
        <v>7.758729695651315E-3</v>
      </c>
      <c r="P1071">
        <v>1.6055855426738191E-2</v>
      </c>
      <c r="Q1071">
        <v>4.4704471289701953E-4</v>
      </c>
      <c r="R1071">
        <v>5.9034471273844435E-4</v>
      </c>
      <c r="S1071">
        <v>6.0766634120251198E-2</v>
      </c>
      <c r="T1071">
        <v>1.0243410549495384</v>
      </c>
      <c r="U1071">
        <v>0</v>
      </c>
      <c r="V1071">
        <v>9.6251635584805442E-2</v>
      </c>
      <c r="W1071">
        <v>3.5352242471790467E-2</v>
      </c>
      <c r="X1071">
        <v>7.3854746557223336E-3</v>
      </c>
      <c r="Y1071">
        <v>1.6067237009917928E-3</v>
      </c>
    </row>
    <row r="1072" spans="1:25" x14ac:dyDescent="0.25">
      <c r="A1072" s="1096"/>
      <c r="B1072" s="1455">
        <v>822</v>
      </c>
      <c r="C1072" s="1100">
        <v>0.98087483116164975</v>
      </c>
      <c r="D1072" s="1100">
        <v>0.99969741900009645</v>
      </c>
      <c r="E1072" s="1100">
        <v>0.96801447479111224</v>
      </c>
      <c r="F1072" s="1100">
        <v>1.0147372118441735</v>
      </c>
      <c r="G1072" s="1100">
        <v>1.006167199915678</v>
      </c>
      <c r="H1072" s="1100">
        <v>1.0221026580814978</v>
      </c>
      <c r="I1072" s="1100">
        <v>0.98236983625107999</v>
      </c>
      <c r="K1072">
        <v>1.3350378160638245</v>
      </c>
      <c r="L1072">
        <v>0</v>
      </c>
      <c r="M1072">
        <v>6.6921393708076139E-4</v>
      </c>
      <c r="N1072">
        <v>5.5865686568906385E-2</v>
      </c>
      <c r="O1072">
        <v>7.9062616707955002E-3</v>
      </c>
      <c r="P1072">
        <v>1.608760745701231E-2</v>
      </c>
      <c r="Q1072">
        <v>4.4314296513411699E-4</v>
      </c>
      <c r="R1072">
        <v>6.6728190524822993E-4</v>
      </c>
      <c r="S1072">
        <v>6.1317035727208584E-2</v>
      </c>
      <c r="T1072">
        <v>1.0485747792491911</v>
      </c>
      <c r="U1072">
        <v>0</v>
      </c>
      <c r="V1072">
        <v>9.8465095368194297E-2</v>
      </c>
      <c r="W1072">
        <v>3.7413389464030354E-2</v>
      </c>
      <c r="X1072">
        <v>7.1506282485187004E-3</v>
      </c>
      <c r="Y1072">
        <v>1.8161213766647352E-3</v>
      </c>
    </row>
    <row r="1073" spans="1:25" x14ac:dyDescent="0.25">
      <c r="A1073" s="1096"/>
      <c r="B1073" s="1455">
        <v>823</v>
      </c>
      <c r="C1073" s="1100">
        <v>0.99057695121061595</v>
      </c>
      <c r="D1073" s="1100">
        <v>1.0174464273418533</v>
      </c>
      <c r="E1073" s="1100">
        <v>1.0112678415082645</v>
      </c>
      <c r="F1073" s="1100">
        <v>0.97278466403976915</v>
      </c>
      <c r="G1073" s="1100">
        <v>1.0252876782700724</v>
      </c>
      <c r="H1073" s="1100">
        <v>0.99374058829744183</v>
      </c>
      <c r="I1073" s="1100">
        <v>0.99460227878162688</v>
      </c>
      <c r="K1073">
        <v>1.288562434609511</v>
      </c>
      <c r="L1073">
        <v>0</v>
      </c>
      <c r="M1073">
        <v>5.8493837050440484E-4</v>
      </c>
      <c r="N1073">
        <v>5.5648090442364351E-2</v>
      </c>
      <c r="O1073">
        <v>7.7845343054772529E-3</v>
      </c>
      <c r="P1073">
        <v>1.5999575439753326E-2</v>
      </c>
      <c r="Q1073">
        <v>4.5582348209747539E-4</v>
      </c>
      <c r="R1073">
        <v>5.8320144616558483E-4</v>
      </c>
      <c r="S1073">
        <v>6.0075588586953478E-2</v>
      </c>
      <c r="T1073">
        <v>1.0039578388318711</v>
      </c>
      <c r="U1073">
        <v>0</v>
      </c>
      <c r="V1073">
        <v>9.9191123340852019E-2</v>
      </c>
      <c r="W1073">
        <v>3.6314086282755897E-2</v>
      </c>
      <c r="X1073">
        <v>7.5502287375662745E-3</v>
      </c>
      <c r="Y1073">
        <v>1.5872820841576619E-3</v>
      </c>
    </row>
    <row r="1074" spans="1:25" x14ac:dyDescent="0.25">
      <c r="A1074" s="1096"/>
      <c r="B1074" s="1455">
        <v>824</v>
      </c>
      <c r="C1074" s="1100">
        <v>0.98207259578441775</v>
      </c>
      <c r="D1074" s="1100">
        <v>0.98517365331103224</v>
      </c>
      <c r="E1074" s="1100">
        <v>0.96463703725550864</v>
      </c>
      <c r="F1074" s="1100">
        <v>1.0024762415311168</v>
      </c>
      <c r="G1074" s="1100">
        <v>1.002861963382208</v>
      </c>
      <c r="H1074" s="1100">
        <v>1.0089798481392773</v>
      </c>
      <c r="I1074" s="1100">
        <v>0.98838447668860552</v>
      </c>
      <c r="K1074">
        <v>1.3213818042745078</v>
      </c>
      <c r="L1074">
        <v>0</v>
      </c>
      <c r="M1074">
        <v>6.6833101409857212E-4</v>
      </c>
      <c r="N1074">
        <v>5.5222098920849082E-2</v>
      </c>
      <c r="O1074">
        <v>7.9421358827932963E-3</v>
      </c>
      <c r="P1074">
        <v>1.588142712582874E-2</v>
      </c>
      <c r="Q1074">
        <v>4.4361653561986457E-4</v>
      </c>
      <c r="R1074">
        <v>6.6637643639142375E-4</v>
      </c>
      <c r="S1074">
        <v>6.1692762778651503E-2</v>
      </c>
      <c r="T1074">
        <v>1.036009145060317</v>
      </c>
      <c r="U1074">
        <v>0</v>
      </c>
      <c r="V1074">
        <v>9.8270688256811387E-2</v>
      </c>
      <c r="W1074">
        <v>3.705869987021438E-2</v>
      </c>
      <c r="X1074">
        <v>7.0495274322042644E-3</v>
      </c>
      <c r="Y1074">
        <v>1.8136569889242368E-3</v>
      </c>
    </row>
    <row r="1075" spans="1:25" x14ac:dyDescent="0.25">
      <c r="A1075" s="1096"/>
      <c r="B1075" s="1455">
        <v>825</v>
      </c>
      <c r="C1075" s="1100">
        <v>1.0050834548662839</v>
      </c>
      <c r="D1075" s="1100">
        <v>1.0008958154434442</v>
      </c>
      <c r="E1075" s="1100">
        <v>1.0204928190952434</v>
      </c>
      <c r="F1075" s="1100">
        <v>0.99818002844759157</v>
      </c>
      <c r="G1075" s="1100">
        <v>0.99920150965603916</v>
      </c>
      <c r="H1075" s="1100">
        <v>1.0163204635469687</v>
      </c>
      <c r="I1075" s="1100">
        <v>0.99926717654142683</v>
      </c>
      <c r="K1075">
        <v>1.3161217915583323</v>
      </c>
      <c r="L1075">
        <v>0</v>
      </c>
      <c r="M1075">
        <v>5.8220004943121005E-4</v>
      </c>
      <c r="N1075">
        <v>5.6954900140155501E-2</v>
      </c>
      <c r="O1075">
        <v>7.7249335153389276E-3</v>
      </c>
      <c r="P1075">
        <v>1.6454092253788393E-2</v>
      </c>
      <c r="Q1075">
        <v>4.5651048521497619E-4</v>
      </c>
      <c r="R1075">
        <v>5.8050966538124619E-4</v>
      </c>
      <c r="S1075">
        <v>6.0706360155867646E-2</v>
      </c>
      <c r="T1075">
        <v>1.0298972692270869</v>
      </c>
      <c r="U1075">
        <v>0</v>
      </c>
      <c r="V1075">
        <v>9.7578236552300593E-2</v>
      </c>
      <c r="W1075">
        <v>3.696616552151355E-2</v>
      </c>
      <c r="X1075">
        <v>7.8050581469087717E-3</v>
      </c>
      <c r="Y1075">
        <v>1.5799559442079894E-3</v>
      </c>
    </row>
    <row r="1076" spans="1:25" x14ac:dyDescent="0.25">
      <c r="A1076" s="1096"/>
      <c r="B1076" s="1455">
        <v>826</v>
      </c>
      <c r="C1076" s="1100">
        <v>0.96896502874258972</v>
      </c>
      <c r="D1076" s="1100">
        <v>1.0124403207753483</v>
      </c>
      <c r="E1076" s="1100">
        <v>0.96576832843500693</v>
      </c>
      <c r="F1076" s="1100">
        <v>0.99334948372760512</v>
      </c>
      <c r="G1076" s="1100">
        <v>0.99452826420646623</v>
      </c>
      <c r="H1076" s="1100">
        <v>1.007699984995198</v>
      </c>
      <c r="I1076" s="1100">
        <v>0.96875283967549919</v>
      </c>
      <c r="K1076">
        <v>1.310569743645517</v>
      </c>
      <c r="L1076">
        <v>0</v>
      </c>
      <c r="M1076">
        <v>6.6760518172550025E-4</v>
      </c>
      <c r="N1076">
        <v>5.5351264009855933E-2</v>
      </c>
      <c r="O1076">
        <v>7.9624297093165725E-3</v>
      </c>
      <c r="P1076">
        <v>1.5750900658041963E-2</v>
      </c>
      <c r="Q1076">
        <v>4.4526599669403246E-4</v>
      </c>
      <c r="R1076">
        <v>6.6565024698166727E-4</v>
      </c>
      <c r="S1076">
        <v>6.035771538129963E-2</v>
      </c>
      <c r="T1076">
        <v>1.0265424765954214</v>
      </c>
      <c r="U1076">
        <v>0</v>
      </c>
      <c r="V1076">
        <v>9.8210052873826115E-2</v>
      </c>
      <c r="W1076">
        <v>3.711971563173392E-2</v>
      </c>
      <c r="X1076">
        <v>7.0201971833300106E-3</v>
      </c>
      <c r="Y1076">
        <v>1.8116805407391544E-3</v>
      </c>
    </row>
    <row r="1077" spans="1:25" x14ac:dyDescent="0.25">
      <c r="A1077" s="1096"/>
      <c r="B1077" s="1455">
        <v>827</v>
      </c>
      <c r="C1077" s="1100">
        <v>0.98799075469534847</v>
      </c>
      <c r="D1077" s="1100">
        <v>1.0026493726400483</v>
      </c>
      <c r="E1077" s="1100">
        <v>0.98373460201572482</v>
      </c>
      <c r="F1077" s="1100">
        <v>0.99423734425303711</v>
      </c>
      <c r="G1077" s="1100">
        <v>1.0284718027837818</v>
      </c>
      <c r="H1077" s="1100">
        <v>1.0078437991255</v>
      </c>
      <c r="I1077" s="1100">
        <v>1.0006405860729926</v>
      </c>
      <c r="K1077">
        <v>1.3133057806074828</v>
      </c>
      <c r="L1077">
        <v>0</v>
      </c>
      <c r="M1077">
        <v>6.334384683257695E-4</v>
      </c>
      <c r="N1077">
        <v>5.5453601748455726E-2</v>
      </c>
      <c r="O1077">
        <v>7.8439518969229977E-3</v>
      </c>
      <c r="P1077">
        <v>1.6004382430380878E-2</v>
      </c>
      <c r="Q1077">
        <v>4.4674808688515609E-4</v>
      </c>
      <c r="R1077">
        <v>6.315838479599424E-4</v>
      </c>
      <c r="S1077">
        <v>6.1485155298214911E-2</v>
      </c>
      <c r="T1077">
        <v>1.0269148298203965</v>
      </c>
      <c r="U1077">
        <v>0</v>
      </c>
      <c r="V1077">
        <v>9.9379598118531254E-2</v>
      </c>
      <c r="W1077">
        <v>3.6785421008089986E-2</v>
      </c>
      <c r="X1077">
        <v>7.2749837873848028E-3</v>
      </c>
      <c r="Y1077">
        <v>1.7189630325874388E-3</v>
      </c>
    </row>
    <row r="1078" spans="1:25" x14ac:dyDescent="0.25">
      <c r="A1078" s="1096"/>
      <c r="B1078" s="1455">
        <v>828</v>
      </c>
      <c r="C1078" s="1100">
        <v>1.0283502005766827</v>
      </c>
      <c r="D1078" s="1100">
        <v>1.0338182814727601</v>
      </c>
      <c r="E1078" s="1100">
        <v>1.000878972602484</v>
      </c>
      <c r="F1078" s="1100">
        <v>1.0123520444400973</v>
      </c>
      <c r="G1078" s="1100">
        <v>0.98249619028258584</v>
      </c>
      <c r="H1078" s="1100">
        <v>1.0013135526273607</v>
      </c>
      <c r="I1078" s="1100">
        <v>1.0124952532387326</v>
      </c>
      <c r="K1078">
        <v>1.3212698866371595</v>
      </c>
      <c r="L1078">
        <v>0</v>
      </c>
      <c r="M1078">
        <v>5.7643320395001064E-4</v>
      </c>
      <c r="N1078">
        <v>5.3146393476646937E-2</v>
      </c>
      <c r="O1078">
        <v>7.4484166111740994E-3</v>
      </c>
      <c r="P1078">
        <v>1.6377459900343325E-2</v>
      </c>
      <c r="Q1078">
        <v>4.3162641860277896E-4</v>
      </c>
      <c r="R1078">
        <v>5.7473448037767484E-4</v>
      </c>
      <c r="S1078">
        <v>5.8622915093732846E-2</v>
      </c>
      <c r="T1078">
        <v>1.0451043117341985</v>
      </c>
      <c r="U1078">
        <v>0</v>
      </c>
      <c r="V1078">
        <v>9.6190252500839901E-2</v>
      </c>
      <c r="W1078">
        <v>3.4895339448579275E-2</v>
      </c>
      <c r="X1078">
        <v>7.4906323821947417E-3</v>
      </c>
      <c r="Y1078">
        <v>1.5642377944174932E-3</v>
      </c>
    </row>
    <row r="1079" spans="1:25" x14ac:dyDescent="0.25">
      <c r="A1079" s="1096"/>
      <c r="B1079" s="1455">
        <v>829</v>
      </c>
      <c r="C1079" s="1100">
        <v>0.97452348621531759</v>
      </c>
      <c r="D1079" s="1100">
        <v>1.0022206955241144</v>
      </c>
      <c r="E1079" s="1100">
        <v>0.97571899371963822</v>
      </c>
      <c r="F1079" s="1100">
        <v>1.026117193312573</v>
      </c>
      <c r="G1079" s="1100">
        <v>0.99087775833039038</v>
      </c>
      <c r="H1079" s="1100">
        <v>0.96854457958935647</v>
      </c>
      <c r="I1079" s="1100">
        <v>0.99745592473068778</v>
      </c>
      <c r="K1079">
        <v>1.3420072156226686</v>
      </c>
      <c r="L1079">
        <v>0</v>
      </c>
      <c r="M1079">
        <v>6.2757206025440624E-4</v>
      </c>
      <c r="N1079">
        <v>5.3617212912015814E-2</v>
      </c>
      <c r="O1079">
        <v>7.9516998078373886E-3</v>
      </c>
      <c r="P1079">
        <v>1.6324022820367368E-2</v>
      </c>
      <c r="Q1079">
        <v>4.4920956582659299E-4</v>
      </c>
      <c r="R1079">
        <v>6.25660060624916E-4</v>
      </c>
      <c r="S1079">
        <v>6.0916000137177205E-2</v>
      </c>
      <c r="T1079">
        <v>1.0600922700515958</v>
      </c>
      <c r="U1079">
        <v>0</v>
      </c>
      <c r="V1079">
        <v>9.7898734404106041E-2</v>
      </c>
      <c r="W1079">
        <v>3.5739844353236072E-2</v>
      </c>
      <c r="X1079">
        <v>7.3172931338985666E-3</v>
      </c>
      <c r="Y1079">
        <v>1.7028404362374669E-3</v>
      </c>
    </row>
    <row r="1080" spans="1:25" x14ac:dyDescent="0.25">
      <c r="A1080" s="1096"/>
      <c r="B1080" s="1455">
        <v>830</v>
      </c>
      <c r="C1080" s="1100">
        <v>1.0227404794816</v>
      </c>
      <c r="D1080" s="1100">
        <v>1.0326469803496447</v>
      </c>
      <c r="E1080" s="1100">
        <v>0.980996431481443</v>
      </c>
      <c r="F1080" s="1100">
        <v>0.99767921603602194</v>
      </c>
      <c r="G1080" s="1100">
        <v>1.0211183871392773</v>
      </c>
      <c r="H1080" s="1100">
        <v>1.0204739819247342</v>
      </c>
      <c r="I1080" s="1100">
        <v>0.97717006911727267</v>
      </c>
      <c r="K1080">
        <v>1.3078542060230982</v>
      </c>
      <c r="L1080">
        <v>0</v>
      </c>
      <c r="M1080">
        <v>6.1579951290530296E-4</v>
      </c>
      <c r="N1080">
        <v>5.3466658658542214E-2</v>
      </c>
      <c r="O1080">
        <v>7.4879634681945077E-3</v>
      </c>
      <c r="P1080">
        <v>1.5949612739364058E-2</v>
      </c>
      <c r="Q1080">
        <v>4.2528925813333131E-4</v>
      </c>
      <c r="R1080">
        <v>6.1401885200326235E-4</v>
      </c>
      <c r="S1080">
        <v>5.7455934141090514E-2</v>
      </c>
      <c r="T1080">
        <v>1.0305525771003683</v>
      </c>
      <c r="U1080">
        <v>0</v>
      </c>
      <c r="V1080">
        <v>9.8168811371724229E-2</v>
      </c>
      <c r="W1080">
        <v>3.5525951732708179E-2</v>
      </c>
      <c r="X1080">
        <v>7.1520313099816719E-3</v>
      </c>
      <c r="Y1080">
        <v>1.6711569038927168E-3</v>
      </c>
    </row>
    <row r="1081" spans="1:25" x14ac:dyDescent="0.25">
      <c r="A1081" s="1096"/>
      <c r="B1081" s="1455">
        <v>831</v>
      </c>
      <c r="C1081" s="1100">
        <v>0.96487421724510747</v>
      </c>
      <c r="D1081" s="1100">
        <v>0.99270214914908861</v>
      </c>
      <c r="E1081" s="1100">
        <v>1.0250507126659039</v>
      </c>
      <c r="F1081" s="1100">
        <v>0.98348944372059843</v>
      </c>
      <c r="G1081" s="1100">
        <v>1.012538753849594</v>
      </c>
      <c r="H1081" s="1100">
        <v>1.0056125960218936</v>
      </c>
      <c r="I1081" s="1100">
        <v>0.98646175895180743</v>
      </c>
      <c r="K1081">
        <v>1.3080901983705022</v>
      </c>
      <c r="L1081">
        <v>0</v>
      </c>
      <c r="M1081">
        <v>5.9636388590844202E-4</v>
      </c>
      <c r="N1081">
        <v>5.9146239850316903E-2</v>
      </c>
      <c r="O1081">
        <v>8.0745236417575066E-3</v>
      </c>
      <c r="P1081">
        <v>1.634307664821184E-2</v>
      </c>
      <c r="Q1081">
        <v>4.7933351414048927E-4</v>
      </c>
      <c r="R1081">
        <v>5.946139407048838E-4</v>
      </c>
      <c r="S1081">
        <v>6.2370344491783226E-2</v>
      </c>
      <c r="T1081">
        <v>1.0146094949928264</v>
      </c>
      <c r="U1081">
        <v>0</v>
      </c>
      <c r="V1081">
        <v>9.9256651508679614E-2</v>
      </c>
      <c r="W1081">
        <v>3.828643020784947E-2</v>
      </c>
      <c r="X1081">
        <v>7.9075103279738716E-3</v>
      </c>
      <c r="Y1081">
        <v>1.6183431321658203E-3</v>
      </c>
    </row>
    <row r="1082" spans="1:25" x14ac:dyDescent="0.25">
      <c r="A1082" s="1096"/>
      <c r="B1082" s="1455">
        <v>832</v>
      </c>
      <c r="C1082" s="1100">
        <v>0.99250813960714579</v>
      </c>
      <c r="D1082" s="1100">
        <v>0.9764604125175006</v>
      </c>
      <c r="E1082" s="1100">
        <v>1.0338426514394194</v>
      </c>
      <c r="F1082" s="1100">
        <v>1.0306146167400159</v>
      </c>
      <c r="G1082" s="1100">
        <v>1.0087802006926503</v>
      </c>
      <c r="H1082" s="1100">
        <v>0.97113893658702077</v>
      </c>
      <c r="I1082" s="1100">
        <v>0.97900864686148081</v>
      </c>
      <c r="K1082">
        <v>1.3487817922454155</v>
      </c>
      <c r="L1082">
        <v>0</v>
      </c>
      <c r="M1082">
        <v>5.5336098197022261E-4</v>
      </c>
      <c r="N1082">
        <v>5.6349484340420981E-2</v>
      </c>
      <c r="O1082">
        <v>7.9038818900138801E-3</v>
      </c>
      <c r="P1082">
        <v>1.7073771891587975E-2</v>
      </c>
      <c r="Q1082">
        <v>4.7330119586394055E-4</v>
      </c>
      <c r="R1082">
        <v>5.5167958219607544E-4</v>
      </c>
      <c r="S1082">
        <v>5.9670319471246999E-2</v>
      </c>
      <c r="T1082">
        <v>1.062964035327902</v>
      </c>
      <c r="U1082">
        <v>0</v>
      </c>
      <c r="V1082">
        <v>9.8369344101209788E-2</v>
      </c>
      <c r="W1082">
        <v>3.6290277427714616E-2</v>
      </c>
      <c r="X1082">
        <v>8.1875680376160605E-3</v>
      </c>
      <c r="Y1082">
        <v>1.5014899616123225E-3</v>
      </c>
    </row>
    <row r="1083" spans="1:25" x14ac:dyDescent="0.25">
      <c r="A1083" s="1096"/>
      <c r="B1083" s="1455">
        <v>833</v>
      </c>
      <c r="C1083" s="1100">
        <v>0.95831931937361792</v>
      </c>
      <c r="D1083" s="1100">
        <v>1.0049548890984583</v>
      </c>
      <c r="E1083" s="1100">
        <v>0.98221996515368593</v>
      </c>
      <c r="F1083" s="1100">
        <v>0.96097362009302245</v>
      </c>
      <c r="G1083" s="1100">
        <v>0.99154328102690403</v>
      </c>
      <c r="H1083" s="1100">
        <v>0.97353297930420446</v>
      </c>
      <c r="I1083" s="1100">
        <v>0.98137663459707336</v>
      </c>
      <c r="K1083">
        <v>1.2765400889002088</v>
      </c>
      <c r="L1083">
        <v>0</v>
      </c>
      <c r="M1083">
        <v>6.3221726339889939E-4</v>
      </c>
      <c r="N1083">
        <v>5.5087985194514195E-2</v>
      </c>
      <c r="O1083">
        <v>8.0790037333168026E-3</v>
      </c>
      <c r="P1083">
        <v>1.5504372862884391E-2</v>
      </c>
      <c r="Q1083">
        <v>4.5942868752483872E-4</v>
      </c>
      <c r="R1083">
        <v>6.3030098104376628E-4</v>
      </c>
      <c r="S1083">
        <v>6.1020092149267416E-2</v>
      </c>
      <c r="T1083">
        <v>0.99260189460839254</v>
      </c>
      <c r="U1083">
        <v>0</v>
      </c>
      <c r="V1083">
        <v>9.8368052004177253E-2</v>
      </c>
      <c r="W1083">
        <v>3.6576245064675751E-2</v>
      </c>
      <c r="X1083">
        <v>7.1294593860709828E-3</v>
      </c>
      <c r="Y1083">
        <v>1.7154714917385729E-3</v>
      </c>
    </row>
    <row r="1084" spans="1:25" x14ac:dyDescent="0.25">
      <c r="A1084" s="1096"/>
      <c r="B1084" s="1455">
        <v>834</v>
      </c>
      <c r="C1084" s="1100">
        <v>0.99665478566916932</v>
      </c>
      <c r="D1084" s="1100">
        <v>0.98767719621178496</v>
      </c>
      <c r="E1084" s="1100">
        <v>0.9901566211434869</v>
      </c>
      <c r="F1084" s="1100">
        <v>0.99115119091305448</v>
      </c>
      <c r="G1084" s="1100">
        <v>0.99546201557480041</v>
      </c>
      <c r="H1084" s="1100">
        <v>0.98235050930614487</v>
      </c>
      <c r="I1084" s="1100">
        <v>1.0280350514579246</v>
      </c>
      <c r="K1084">
        <v>1.3067830184036784</v>
      </c>
      <c r="L1084">
        <v>0</v>
      </c>
      <c r="M1084">
        <v>6.0761139616249873E-4</v>
      </c>
      <c r="N1084">
        <v>5.4231615215924137E-2</v>
      </c>
      <c r="O1084">
        <v>7.8242861925209798E-3</v>
      </c>
      <c r="P1084">
        <v>1.6023310248619825E-2</v>
      </c>
      <c r="Q1084">
        <v>4.4853503029286258E-4</v>
      </c>
      <c r="R1084">
        <v>6.0578622644524144E-4</v>
      </c>
      <c r="S1084">
        <v>6.2325976264483711E-2</v>
      </c>
      <c r="T1084">
        <v>1.0235353029200818</v>
      </c>
      <c r="U1084">
        <v>0</v>
      </c>
      <c r="V1084">
        <v>9.7571983730176171E-2</v>
      </c>
      <c r="W1084">
        <v>3.5836340693859631E-2</v>
      </c>
      <c r="X1084">
        <v>7.3387428664287626E-3</v>
      </c>
      <c r="Y1084">
        <v>1.6487504110080692E-3</v>
      </c>
    </row>
    <row r="1085" spans="1:25" x14ac:dyDescent="0.25">
      <c r="A1085" s="1096"/>
      <c r="B1085" s="1455">
        <v>835</v>
      </c>
      <c r="C1085" s="1100">
        <v>0.99315178262535442</v>
      </c>
      <c r="D1085" s="1100">
        <v>1.0261936673318579</v>
      </c>
      <c r="E1085" s="1100">
        <v>0.98706398650948779</v>
      </c>
      <c r="F1085" s="1100">
        <v>0.96960864654009604</v>
      </c>
      <c r="G1085" s="1100">
        <v>1.0276988812016492</v>
      </c>
      <c r="H1085" s="1100">
        <v>1.0079289925236947</v>
      </c>
      <c r="I1085" s="1100">
        <v>1.0358216313786803</v>
      </c>
      <c r="K1085">
        <v>1.2870218181660773</v>
      </c>
      <c r="L1085">
        <v>0</v>
      </c>
      <c r="M1085">
        <v>6.2008874947115135E-4</v>
      </c>
      <c r="N1085">
        <v>5.4834318509514098E-2</v>
      </c>
      <c r="O1085">
        <v>7.7318909668418175E-3</v>
      </c>
      <c r="P1085">
        <v>1.571184412716143E-2</v>
      </c>
      <c r="Q1085">
        <v>4.4185394735182961E-4</v>
      </c>
      <c r="R1085">
        <v>6.1827336869350099E-4</v>
      </c>
      <c r="S1085">
        <v>6.2540225609607453E-2</v>
      </c>
      <c r="T1085">
        <v>1.001379168364869</v>
      </c>
      <c r="U1085">
        <v>0</v>
      </c>
      <c r="V1085">
        <v>9.9215623450855828E-2</v>
      </c>
      <c r="W1085">
        <v>3.6301875255623429E-2</v>
      </c>
      <c r="X1085">
        <v>7.184097019206203E-3</v>
      </c>
      <c r="Y1085">
        <v>1.6827362958224961E-3</v>
      </c>
    </row>
    <row r="1086" spans="1:25" x14ac:dyDescent="0.25">
      <c r="A1086" s="1096"/>
      <c r="B1086" s="1455">
        <v>836</v>
      </c>
      <c r="C1086" s="1100">
        <v>1.0027525753253161</v>
      </c>
      <c r="D1086" s="1100">
        <v>1.0113165405869855</v>
      </c>
      <c r="E1086" s="1100">
        <v>1.0077773281798557</v>
      </c>
      <c r="F1086" s="1100">
        <v>1.0158455102392057</v>
      </c>
      <c r="G1086" s="1100">
        <v>1.0310023681135381</v>
      </c>
      <c r="H1086" s="1100">
        <v>0.96768921640489247</v>
      </c>
      <c r="I1086" s="1100">
        <v>0.99851587498015826</v>
      </c>
      <c r="K1086">
        <v>1.3290207537275582</v>
      </c>
      <c r="L1086">
        <v>0</v>
      </c>
      <c r="M1086">
        <v>5.6815426944676456E-4</v>
      </c>
      <c r="N1086">
        <v>5.3480433115061267E-2</v>
      </c>
      <c r="O1086">
        <v>7.7077717980388533E-3</v>
      </c>
      <c r="P1086">
        <v>1.6553935926439015E-2</v>
      </c>
      <c r="Q1086">
        <v>4.497561833710152E-4</v>
      </c>
      <c r="R1086">
        <v>5.6642176566420923E-4</v>
      </c>
      <c r="S1086">
        <v>5.8981046121364532E-2</v>
      </c>
      <c r="T1086">
        <v>1.0485031197319941</v>
      </c>
      <c r="U1086">
        <v>0</v>
      </c>
      <c r="V1086">
        <v>9.9159825207757513E-2</v>
      </c>
      <c r="W1086">
        <v>3.4971479323684808E-2</v>
      </c>
      <c r="X1086">
        <v>7.6735054983753251E-3</v>
      </c>
      <c r="Y1086">
        <v>1.5416133252531084E-3</v>
      </c>
    </row>
    <row r="1087" spans="1:25" x14ac:dyDescent="0.25">
      <c r="A1087" s="1096"/>
      <c r="B1087" s="1455">
        <v>837</v>
      </c>
      <c r="C1087" s="1100">
        <v>0.99473016637375822</v>
      </c>
      <c r="D1087" s="1100">
        <v>1.0237027742039668</v>
      </c>
      <c r="E1087" s="1100">
        <v>0.98234115262381183</v>
      </c>
      <c r="F1087" s="1100">
        <v>0.95485821973196083</v>
      </c>
      <c r="G1087" s="1100">
        <v>1.005362078470883</v>
      </c>
      <c r="H1087" s="1100">
        <v>0.97623688213065041</v>
      </c>
      <c r="I1087" s="1100">
        <v>1.0307627864118118</v>
      </c>
      <c r="K1087">
        <v>1.2657544051577789</v>
      </c>
      <c r="L1087">
        <v>0</v>
      </c>
      <c r="M1087">
        <v>6.0611642633710589E-4</v>
      </c>
      <c r="N1087">
        <v>5.2833510242841483E-2</v>
      </c>
      <c r="O1087">
        <v>7.7259785700949822E-3</v>
      </c>
      <c r="P1087">
        <v>1.5419671839789813E-2</v>
      </c>
      <c r="Q1087">
        <v>4.3940725825589687E-4</v>
      </c>
      <c r="R1087">
        <v>6.0428434537804535E-4</v>
      </c>
      <c r="S1087">
        <v>6.1219017041013915E-2</v>
      </c>
      <c r="T1087">
        <v>0.98628171409042109</v>
      </c>
      <c r="U1087">
        <v>0</v>
      </c>
      <c r="V1087">
        <v>9.809028842630696E-2</v>
      </c>
      <c r="W1087">
        <v>3.5076800561934462E-2</v>
      </c>
      <c r="X1087">
        <v>7.0251864222408335E-3</v>
      </c>
      <c r="Y1087">
        <v>1.6446627858381221E-3</v>
      </c>
    </row>
    <row r="1088" spans="1:25" x14ac:dyDescent="0.25">
      <c r="A1088" s="1096"/>
      <c r="B1088" s="1455">
        <v>838</v>
      </c>
      <c r="C1088" s="1100">
        <v>0.99401815289767537</v>
      </c>
      <c r="D1088" s="1100">
        <v>1.0359095906331266</v>
      </c>
      <c r="E1088" s="1100">
        <v>0.97557423467885462</v>
      </c>
      <c r="F1088" s="1100">
        <v>1.0143801417912752</v>
      </c>
      <c r="G1088" s="1100">
        <v>0.99199329248537893</v>
      </c>
      <c r="H1088" s="1100">
        <v>1.0302155350953346</v>
      </c>
      <c r="I1088" s="1100">
        <v>0.99819902389762127</v>
      </c>
      <c r="K1088">
        <v>1.3312053301883227</v>
      </c>
      <c r="L1088">
        <v>0</v>
      </c>
      <c r="M1088">
        <v>6.4603580230081367E-4</v>
      </c>
      <c r="N1088">
        <v>5.5180595667378006E-2</v>
      </c>
      <c r="O1088">
        <v>7.6932986865783145E-3</v>
      </c>
      <c r="P1088">
        <v>1.6149403413409952E-2</v>
      </c>
      <c r="Q1088">
        <v>4.345478040239804E-4</v>
      </c>
      <c r="R1088">
        <v>6.4418537379368863E-4</v>
      </c>
      <c r="S1088">
        <v>6.0575850447335239E-2</v>
      </c>
      <c r="T1088">
        <v>1.0479710785618035</v>
      </c>
      <c r="U1088">
        <v>0</v>
      </c>
      <c r="V1088">
        <v>9.7453978898204313E-2</v>
      </c>
      <c r="W1088">
        <v>3.6785181104013819E-2</v>
      </c>
      <c r="X1088">
        <v>7.2099858022655955E-3</v>
      </c>
      <c r="Y1088">
        <v>1.7532602318150214E-3</v>
      </c>
    </row>
    <row r="1089" spans="1:25" x14ac:dyDescent="0.25">
      <c r="A1089" s="1096"/>
      <c r="B1089" s="1455">
        <v>839</v>
      </c>
      <c r="C1089" s="1100">
        <v>0.99741839108843788</v>
      </c>
      <c r="D1089" s="1100">
        <v>0.96691007522995698</v>
      </c>
      <c r="E1089" s="1100">
        <v>1.0167463835230715</v>
      </c>
      <c r="F1089" s="1100">
        <v>1.001395806049511</v>
      </c>
      <c r="G1089" s="1100">
        <v>1.0124825553578789</v>
      </c>
      <c r="H1089" s="1100">
        <v>1.0154863545733965</v>
      </c>
      <c r="I1089" s="1100">
        <v>0.97229324944571727</v>
      </c>
      <c r="K1089">
        <v>1.3222211624816949</v>
      </c>
      <c r="L1089">
        <v>0</v>
      </c>
      <c r="M1089">
        <v>5.9899911013269345E-4</v>
      </c>
      <c r="N1089">
        <v>5.7939537102142141E-2</v>
      </c>
      <c r="O1089">
        <v>7.8916723389679498E-3</v>
      </c>
      <c r="P1089">
        <v>1.6466283587868818E-2</v>
      </c>
      <c r="Q1089">
        <v>4.6462897899183928E-4</v>
      </c>
      <c r="R1089">
        <v>5.9725852245947979E-4</v>
      </c>
      <c r="S1089">
        <v>6.0604519011797059E-2</v>
      </c>
      <c r="T1089">
        <v>1.033324821438095</v>
      </c>
      <c r="U1089">
        <v>0</v>
      </c>
      <c r="V1089">
        <v>9.8406142854348969E-2</v>
      </c>
      <c r="W1089">
        <v>3.7687842720169777E-2</v>
      </c>
      <c r="X1089">
        <v>7.8119142250680108E-3</v>
      </c>
      <c r="Y1089">
        <v>1.6255408119156896E-3</v>
      </c>
    </row>
    <row r="1090" spans="1:25" x14ac:dyDescent="0.25">
      <c r="A1090" s="1096"/>
      <c r="B1090" s="1455">
        <v>840</v>
      </c>
      <c r="C1090" s="1100">
        <v>1.0063678476504576</v>
      </c>
      <c r="D1090" s="1100">
        <v>1.0177967861656951</v>
      </c>
      <c r="E1090" s="1100">
        <v>0.98622242816794514</v>
      </c>
      <c r="F1090" s="1100">
        <v>1.0318459563760705</v>
      </c>
      <c r="G1090" s="1100">
        <v>0.97518558031732305</v>
      </c>
      <c r="H1090" s="1100">
        <v>1.0079470665204486</v>
      </c>
      <c r="I1090" s="1100">
        <v>1.0466783917098383</v>
      </c>
      <c r="K1090">
        <v>1.3485865240642441</v>
      </c>
      <c r="L1090">
        <v>0</v>
      </c>
      <c r="M1090">
        <v>6.1504140815156396E-4</v>
      </c>
      <c r="N1090">
        <v>5.424974319641164E-2</v>
      </c>
      <c r="O1090">
        <v>7.655267264831114E-3</v>
      </c>
      <c r="P1090">
        <v>1.6532464898283007E-2</v>
      </c>
      <c r="Q1090">
        <v>4.3710247721673388E-4</v>
      </c>
      <c r="R1090">
        <v>6.1324083633077116E-4</v>
      </c>
      <c r="S1090">
        <v>6.2640364545289748E-2</v>
      </c>
      <c r="T1090">
        <v>1.065681959801958</v>
      </c>
      <c r="U1090">
        <v>0</v>
      </c>
      <c r="V1090">
        <v>9.6346849203996679E-2</v>
      </c>
      <c r="W1090">
        <v>3.5933028845163709E-2</v>
      </c>
      <c r="X1090">
        <v>7.4425050012075352E-3</v>
      </c>
      <c r="Y1090">
        <v>1.6690394017049928E-3</v>
      </c>
    </row>
    <row r="1091" spans="1:25" x14ac:dyDescent="0.25">
      <c r="A1091" s="1096"/>
      <c r="B1091" s="1455">
        <v>841</v>
      </c>
      <c r="C1091" s="1100">
        <v>1.0170550049252776</v>
      </c>
      <c r="D1091" s="1100">
        <v>0.97622419249308712</v>
      </c>
      <c r="E1091" s="1100">
        <v>0.99226310627608016</v>
      </c>
      <c r="F1091" s="1100">
        <v>0.96577942612444168</v>
      </c>
      <c r="G1091" s="1100">
        <v>1.0017993166405967</v>
      </c>
      <c r="H1091" s="1100">
        <v>1.0213806684121061</v>
      </c>
      <c r="I1091" s="1100">
        <v>1.0460990207333296</v>
      </c>
      <c r="K1091">
        <v>1.2835530915700106</v>
      </c>
      <c r="L1091">
        <v>0</v>
      </c>
      <c r="M1091">
        <v>6.1926783737460613E-4</v>
      </c>
      <c r="N1091">
        <v>5.5631510343719472E-2</v>
      </c>
      <c r="O1091">
        <v>7.7037135649830656E-3</v>
      </c>
      <c r="P1091">
        <v>1.5709750891241658E-2</v>
      </c>
      <c r="Q1091">
        <v>4.4256374059561113E-4</v>
      </c>
      <c r="R1091">
        <v>6.1747873698842339E-4</v>
      </c>
      <c r="S1091">
        <v>6.3779955164765839E-2</v>
      </c>
      <c r="T1091">
        <v>0.99727347294314206</v>
      </c>
      <c r="U1091">
        <v>0</v>
      </c>
      <c r="V1091">
        <v>9.7382184190130214E-2</v>
      </c>
      <c r="W1091">
        <v>3.6715077597399386E-2</v>
      </c>
      <c r="X1091">
        <v>7.2360786641471209E-3</v>
      </c>
      <c r="Y1091">
        <v>1.6805735702715456E-3</v>
      </c>
    </row>
    <row r="1092" spans="1:25" x14ac:dyDescent="0.25">
      <c r="A1092" s="1096"/>
      <c r="B1092" s="1455">
        <v>842</v>
      </c>
      <c r="C1092" s="1100">
        <v>0.96135944918355865</v>
      </c>
      <c r="D1092" s="1100">
        <v>0.98397655517113558</v>
      </c>
      <c r="E1092" s="1100">
        <v>1.0033288879538602</v>
      </c>
      <c r="F1092" s="1100">
        <v>1.0058210487604846</v>
      </c>
      <c r="G1092" s="1100">
        <v>0.97805823670543623</v>
      </c>
      <c r="H1092" s="1100">
        <v>1.0097539421339852</v>
      </c>
      <c r="I1092" s="1100">
        <v>1.0063943554929693</v>
      </c>
      <c r="K1092">
        <v>1.3316814610187333</v>
      </c>
      <c r="L1092">
        <v>0</v>
      </c>
      <c r="M1092">
        <v>6.309947167394774E-4</v>
      </c>
      <c r="N1092">
        <v>5.861048188957222E-2</v>
      </c>
      <c r="O1092">
        <v>8.1271193645916593E-3</v>
      </c>
      <c r="P1092">
        <v>1.641160750793566E-2</v>
      </c>
      <c r="Q1092">
        <v>4.7211624931803081E-4</v>
      </c>
      <c r="R1092">
        <v>6.2915074617554462E-4</v>
      </c>
      <c r="S1092">
        <v>6.4277069159287256E-2</v>
      </c>
      <c r="T1092">
        <v>1.0382888290639436</v>
      </c>
      <c r="U1092">
        <v>0</v>
      </c>
      <c r="V1092">
        <v>9.765768422574464E-2</v>
      </c>
      <c r="W1092">
        <v>3.842709869762858E-2</v>
      </c>
      <c r="X1092">
        <v>7.6989578996723871E-3</v>
      </c>
      <c r="Y1092">
        <v>1.7123409316020959E-3</v>
      </c>
    </row>
    <row r="1093" spans="1:25" x14ac:dyDescent="0.25">
      <c r="A1093" s="1096"/>
      <c r="B1093" s="1455">
        <v>843</v>
      </c>
      <c r="C1093" s="1100">
        <v>0.99003886860398405</v>
      </c>
      <c r="D1093" s="1100">
        <v>1.0409848187247093</v>
      </c>
      <c r="E1093" s="1100">
        <v>1.0332129403740495</v>
      </c>
      <c r="F1093" s="1100">
        <v>0.98107954658674978</v>
      </c>
      <c r="G1093" s="1100">
        <v>1.0111607345743381</v>
      </c>
      <c r="H1093" s="1100">
        <v>1.0066778903882678</v>
      </c>
      <c r="I1093" s="1100">
        <v>1.0109671580867761</v>
      </c>
      <c r="K1093">
        <v>1.2990020170048486</v>
      </c>
      <c r="L1093">
        <v>0</v>
      </c>
      <c r="M1093">
        <v>5.6124669544362418E-4</v>
      </c>
      <c r="N1093">
        <v>5.7050272525556014E-2</v>
      </c>
      <c r="O1093">
        <v>7.7232072384289634E-3</v>
      </c>
      <c r="P1093">
        <v>1.6370070633179423E-2</v>
      </c>
      <c r="Q1093">
        <v>4.6219472333587164E-4</v>
      </c>
      <c r="R1093">
        <v>5.5960153944643279E-4</v>
      </c>
      <c r="S1093">
        <v>6.077151687118916E-2</v>
      </c>
      <c r="T1093">
        <v>1.0118919097635239</v>
      </c>
      <c r="U1093">
        <v>0</v>
      </c>
      <c r="V1093">
        <v>9.8546128291790033E-2</v>
      </c>
      <c r="W1093">
        <v>3.6754995619562171E-2</v>
      </c>
      <c r="X1093">
        <v>7.9103155765047374E-3</v>
      </c>
      <c r="Y1093">
        <v>1.5230509177752898E-3</v>
      </c>
    </row>
    <row r="1094" spans="1:25" x14ac:dyDescent="0.25">
      <c r="A1094" s="1096"/>
      <c r="B1094" s="1455">
        <v>844</v>
      </c>
      <c r="C1094" s="1100">
        <v>1.0476968794484611</v>
      </c>
      <c r="D1094" s="1100">
        <v>1.0110385507210837</v>
      </c>
      <c r="E1094" s="1100">
        <v>1.0028665543500208</v>
      </c>
      <c r="F1094" s="1100">
        <v>0.96542279392376462</v>
      </c>
      <c r="G1094" s="1100">
        <v>1.0061383716017971</v>
      </c>
      <c r="H1094" s="1100">
        <v>0.97280572189484149</v>
      </c>
      <c r="I1094" s="1100">
        <v>0.99043692569873731</v>
      </c>
      <c r="K1094">
        <v>1.2667247942266333</v>
      </c>
      <c r="L1094">
        <v>0</v>
      </c>
      <c r="M1094">
        <v>5.5231894823305761E-4</v>
      </c>
      <c r="N1094">
        <v>5.1225319472183208E-2</v>
      </c>
      <c r="O1094">
        <v>7.3767870899540027E-3</v>
      </c>
      <c r="P1094">
        <v>1.5714455866195243E-2</v>
      </c>
      <c r="Q1094">
        <v>4.2832958810242242E-4</v>
      </c>
      <c r="R1094">
        <v>5.506435901526304E-4</v>
      </c>
      <c r="S1094">
        <v>5.6145027362202692E-2</v>
      </c>
      <c r="T1094">
        <v>0.99659976789629312</v>
      </c>
      <c r="U1094">
        <v>0</v>
      </c>
      <c r="V1094">
        <v>9.6891152762462157E-2</v>
      </c>
      <c r="W1094">
        <v>3.3594333236479645E-2</v>
      </c>
      <c r="X1094">
        <v>7.2526259780568633E-3</v>
      </c>
      <c r="Y1094">
        <v>1.4986703327847502E-3</v>
      </c>
    </row>
    <row r="1095" spans="1:25" x14ac:dyDescent="0.25">
      <c r="A1095" s="1096"/>
      <c r="B1095" s="1455">
        <v>845</v>
      </c>
      <c r="C1095" s="1100">
        <v>1.0002329315683154</v>
      </c>
      <c r="D1095" s="1100">
        <v>0.98691235028621915</v>
      </c>
      <c r="E1095" s="1100">
        <v>1.0010102862830135</v>
      </c>
      <c r="F1095" s="1100">
        <v>0.98513179063893241</v>
      </c>
      <c r="G1095" s="1100">
        <v>0.97831300749956995</v>
      </c>
      <c r="H1095" s="1100">
        <v>1.0278235340530908</v>
      </c>
      <c r="I1095" s="1100">
        <v>1.0034638747977593</v>
      </c>
      <c r="K1095">
        <v>1.3038474250038921</v>
      </c>
      <c r="L1095">
        <v>0</v>
      </c>
      <c r="M1095">
        <v>6.1956271961858839E-4</v>
      </c>
      <c r="N1095">
        <v>5.7149900376278102E-2</v>
      </c>
      <c r="O1095">
        <v>7.8013884196242462E-3</v>
      </c>
      <c r="P1095">
        <v>1.6048818892993071E-2</v>
      </c>
      <c r="Q1095">
        <v>4.5214033763692413E-4</v>
      </c>
      <c r="R1095">
        <v>6.1778398753632735E-4</v>
      </c>
      <c r="S1095">
        <v>6.2054956748202973E-2</v>
      </c>
      <c r="T1095">
        <v>1.0169995638891496</v>
      </c>
      <c r="U1095">
        <v>0</v>
      </c>
      <c r="V1095">
        <v>9.6665496138209045E-2</v>
      </c>
      <c r="W1095">
        <v>3.752107191062936E-2</v>
      </c>
      <c r="X1095">
        <v>7.474462661613359E-3</v>
      </c>
      <c r="Y1095">
        <v>1.681404361637125E-3</v>
      </c>
    </row>
    <row r="1096" spans="1:25" x14ac:dyDescent="0.25">
      <c r="A1096" s="1096"/>
      <c r="B1096" s="1455">
        <v>846</v>
      </c>
      <c r="C1096" s="1100">
        <v>0.99606545154333026</v>
      </c>
      <c r="D1096" s="1100">
        <v>0.98471104294070066</v>
      </c>
      <c r="E1096" s="1100">
        <v>1.0186787463684144</v>
      </c>
      <c r="F1096" s="1100">
        <v>0.9963229440668806</v>
      </c>
      <c r="G1096" s="1100">
        <v>0.99871931673822545</v>
      </c>
      <c r="H1096" s="1100">
        <v>0.99646635353606194</v>
      </c>
      <c r="I1096" s="1100">
        <v>1.0400478947704026</v>
      </c>
      <c r="K1096">
        <v>1.3170294597301329</v>
      </c>
      <c r="L1096">
        <v>0</v>
      </c>
      <c r="M1096">
        <v>5.8195527709703422E-4</v>
      </c>
      <c r="N1096">
        <v>5.6616947311810481E-2</v>
      </c>
      <c r="O1096">
        <v>7.8454172960097535E-3</v>
      </c>
      <c r="P1096">
        <v>1.6450281030691394E-2</v>
      </c>
      <c r="Q1096">
        <v>4.6279498947203235E-4</v>
      </c>
      <c r="R1096">
        <v>5.8023193780493555E-4</v>
      </c>
      <c r="S1096">
        <v>6.3675816185747747E-2</v>
      </c>
      <c r="T1096">
        <v>1.0280339216768861</v>
      </c>
      <c r="U1096">
        <v>0</v>
      </c>
      <c r="V1096">
        <v>9.7776178215463819E-2</v>
      </c>
      <c r="W1096">
        <v>3.6785853569687985E-2</v>
      </c>
      <c r="X1096">
        <v>7.8047727323578078E-3</v>
      </c>
      <c r="Y1096">
        <v>1.5792000612981428E-3</v>
      </c>
    </row>
    <row r="1097" spans="1:25" x14ac:dyDescent="0.25">
      <c r="A1097" s="1096"/>
      <c r="B1097" s="1455">
        <v>847</v>
      </c>
      <c r="C1097" s="1100">
        <v>0.98779235779845764</v>
      </c>
      <c r="D1097" s="1100">
        <v>1.0076962305994788</v>
      </c>
      <c r="E1097" s="1100">
        <v>1.0147757646095039</v>
      </c>
      <c r="F1097" s="1100">
        <v>0.9725242205254252</v>
      </c>
      <c r="G1097" s="1100">
        <v>0.98156809791931199</v>
      </c>
      <c r="H1097" s="1100">
        <v>1.0329901497185709</v>
      </c>
      <c r="I1097" s="1100">
        <v>1.0135650063801294</v>
      </c>
      <c r="K1097">
        <v>1.2937967358388953</v>
      </c>
      <c r="L1097">
        <v>0</v>
      </c>
      <c r="M1097">
        <v>6.0766203836314146E-4</v>
      </c>
      <c r="N1097">
        <v>5.8431864199824012E-2</v>
      </c>
      <c r="O1097">
        <v>7.8374758875728E-3</v>
      </c>
      <c r="P1097">
        <v>1.6047313973111394E-2</v>
      </c>
      <c r="Q1097">
        <v>4.605328987903942E-4</v>
      </c>
      <c r="R1097">
        <v>6.0592619815381965E-4</v>
      </c>
      <c r="S1097">
        <v>6.2941267448627644E-2</v>
      </c>
      <c r="T1097">
        <v>1.0035888256613199</v>
      </c>
      <c r="U1097">
        <v>0</v>
      </c>
      <c r="V1097">
        <v>9.7150419849604888E-2</v>
      </c>
      <c r="W1097">
        <v>3.8052077938807244E-2</v>
      </c>
      <c r="X1097">
        <v>7.6395624535885356E-3</v>
      </c>
      <c r="Y1097">
        <v>1.6491313678571576E-3</v>
      </c>
    </row>
    <row r="1098" spans="1:25" x14ac:dyDescent="0.25">
      <c r="A1098" s="1096"/>
      <c r="B1098" s="1455">
        <v>848</v>
      </c>
      <c r="C1098" s="1100">
        <v>1.0131972006646777</v>
      </c>
      <c r="D1098" s="1100">
        <v>1.0024556596388554</v>
      </c>
      <c r="E1098" s="1100">
        <v>1.0049513672657864</v>
      </c>
      <c r="F1098" s="1100">
        <v>1.0127073717909356</v>
      </c>
      <c r="G1098" s="1100">
        <v>0.98753145573430146</v>
      </c>
      <c r="H1098" s="1100">
        <v>1.0327836564145281</v>
      </c>
      <c r="I1098" s="1100">
        <v>1.0216871402440058</v>
      </c>
      <c r="K1098">
        <v>1.331609181953145</v>
      </c>
      <c r="L1098">
        <v>0</v>
      </c>
      <c r="M1098">
        <v>6.0578234046416318E-4</v>
      </c>
      <c r="N1098">
        <v>5.6548718010163618E-2</v>
      </c>
      <c r="O1098">
        <v>7.6545309567774156E-3</v>
      </c>
      <c r="P1098">
        <v>1.6485253753252046E-2</v>
      </c>
      <c r="Q1098">
        <v>4.4538702061726966E-4</v>
      </c>
      <c r="R1098">
        <v>6.0405152378981944E-4</v>
      </c>
      <c r="S1098">
        <v>6.2011072225129291E-2</v>
      </c>
      <c r="T1098">
        <v>1.0453487374140533</v>
      </c>
      <c r="U1098">
        <v>0</v>
      </c>
      <c r="V1098">
        <v>9.6798787115133525E-2</v>
      </c>
      <c r="W1098">
        <v>3.7039715111748341E-2</v>
      </c>
      <c r="X1098">
        <v>7.6346820407183213E-3</v>
      </c>
      <c r="Y1098">
        <v>1.6440291222245876E-3</v>
      </c>
    </row>
    <row r="1099" spans="1:25" x14ac:dyDescent="0.25">
      <c r="A1099" s="1096"/>
      <c r="B1099" s="1455">
        <v>849</v>
      </c>
      <c r="C1099" s="1100">
        <v>1.0308493354105397</v>
      </c>
      <c r="D1099" s="1100">
        <v>1.0021226061391806</v>
      </c>
      <c r="E1099" s="1100">
        <v>0.98755602243292895</v>
      </c>
      <c r="F1099" s="1100">
        <v>1.0262443494003737</v>
      </c>
      <c r="G1099" s="1100">
        <v>0.9976226535056435</v>
      </c>
      <c r="H1099" s="1100">
        <v>1.0364500543501105</v>
      </c>
      <c r="I1099" s="1100">
        <v>1.0210494601677598</v>
      </c>
      <c r="K1099">
        <v>1.3424001906881291</v>
      </c>
      <c r="L1099">
        <v>0</v>
      </c>
      <c r="M1099">
        <v>6.1954625647011371E-4</v>
      </c>
      <c r="N1099">
        <v>5.4872358335028661E-2</v>
      </c>
      <c r="O1099">
        <v>7.5203194278339732E-3</v>
      </c>
      <c r="P1099">
        <v>1.6455209277347303E-2</v>
      </c>
      <c r="Q1099">
        <v>4.2997738843700257E-4</v>
      </c>
      <c r="R1099">
        <v>6.1778237589782837E-4</v>
      </c>
      <c r="S1099">
        <v>6.1015667509226226E-2</v>
      </c>
      <c r="T1099">
        <v>1.0598553944975133</v>
      </c>
      <c r="U1099">
        <v>0</v>
      </c>
      <c r="V1099">
        <v>9.6848938414540384E-2</v>
      </c>
      <c r="W1099">
        <v>3.631632972439186E-2</v>
      </c>
      <c r="X1099">
        <v>7.4063600190931948E-3</v>
      </c>
      <c r="Y1099">
        <v>1.6813999752884072E-3</v>
      </c>
    </row>
    <row r="1100" spans="1:25" x14ac:dyDescent="0.25">
      <c r="A1100" s="1096"/>
      <c r="B1100" s="1455">
        <v>850</v>
      </c>
      <c r="C1100" s="1100">
        <v>0.99833670613893555</v>
      </c>
      <c r="D1100" s="1100">
        <v>0.9674022029107211</v>
      </c>
      <c r="E1100" s="1100">
        <v>0.99579824993063937</v>
      </c>
      <c r="F1100" s="1100">
        <v>1.0038343099080711</v>
      </c>
      <c r="G1100" s="1100">
        <v>1.0071641233551696</v>
      </c>
      <c r="H1100" s="1100">
        <v>1.0185243410541125</v>
      </c>
      <c r="I1100" s="1100">
        <v>1.0096290784852233</v>
      </c>
      <c r="K1100">
        <v>1.3257154873994985</v>
      </c>
      <c r="L1100">
        <v>0</v>
      </c>
      <c r="M1100">
        <v>6.2679423902521614E-4</v>
      </c>
      <c r="N1100">
        <v>5.6912056610962533E-2</v>
      </c>
      <c r="O1100">
        <v>7.8775840242853185E-3</v>
      </c>
      <c r="P1100">
        <v>1.628253116648638E-2</v>
      </c>
      <c r="Q1100">
        <v>4.5416859803028043E-4</v>
      </c>
      <c r="R1100">
        <v>6.2497831613902109E-4</v>
      </c>
      <c r="S1100">
        <v>6.2930488885731842E-2</v>
      </c>
      <c r="T1100">
        <v>1.0364630665726973</v>
      </c>
      <c r="U1100">
        <v>0</v>
      </c>
      <c r="V1100">
        <v>9.8102466670600671E-2</v>
      </c>
      <c r="W1100">
        <v>3.7480991569742619E-2</v>
      </c>
      <c r="X1100">
        <v>7.5129642713625483E-3</v>
      </c>
      <c r="Y1100">
        <v>1.70098495248387E-3</v>
      </c>
    </row>
    <row r="1101" spans="1:25" x14ac:dyDescent="0.25">
      <c r="A1101" s="1096"/>
      <c r="B1101" s="1455">
        <v>851</v>
      </c>
      <c r="C1101" s="1100">
        <v>1.0057980493908223</v>
      </c>
      <c r="D1101" s="1100">
        <v>1.035760699231115</v>
      </c>
      <c r="E1101" s="1100">
        <v>0.99615125200844035</v>
      </c>
      <c r="F1101" s="1100">
        <v>0.98944689058103275</v>
      </c>
      <c r="G1101" s="1100">
        <v>1.0452112114112311</v>
      </c>
      <c r="H1101" s="1100">
        <v>0.99761089689986959</v>
      </c>
      <c r="I1101" s="1100">
        <v>1.0064731156158067</v>
      </c>
      <c r="K1101">
        <v>1.3031566722839938</v>
      </c>
      <c r="L1101">
        <v>0</v>
      </c>
      <c r="M1101">
        <v>5.9251898412032884E-4</v>
      </c>
      <c r="N1101">
        <v>5.3854054943286871E-2</v>
      </c>
      <c r="O1101">
        <v>7.6085727558087126E-3</v>
      </c>
      <c r="P1101">
        <v>1.6059237243341365E-2</v>
      </c>
      <c r="Q1101">
        <v>4.3881523934153797E-4</v>
      </c>
      <c r="R1101">
        <v>5.9076637566081024E-4</v>
      </c>
      <c r="S1101">
        <v>5.9404949153850181E-2</v>
      </c>
      <c r="T1101">
        <v>1.0215975585843802</v>
      </c>
      <c r="U1101">
        <v>0</v>
      </c>
      <c r="V1101">
        <v>9.9759270793193661E-2</v>
      </c>
      <c r="W1101">
        <v>3.5459596848235811E-2</v>
      </c>
      <c r="X1101">
        <v>7.3684980025495823E-3</v>
      </c>
      <c r="Y1101">
        <v>1.6078713284653286E-3</v>
      </c>
    </row>
    <row r="1102" spans="1:25" x14ac:dyDescent="0.25">
      <c r="A1102" s="1096"/>
      <c r="B1102" s="1455">
        <v>852</v>
      </c>
      <c r="C1102" s="1100">
        <v>0.99023634633746793</v>
      </c>
      <c r="D1102" s="1100">
        <v>1.0355357551443998</v>
      </c>
      <c r="E1102" s="1100">
        <v>0.99517876339452493</v>
      </c>
      <c r="F1102" s="1100">
        <v>0.98502576818197496</v>
      </c>
      <c r="G1102" s="1100">
        <v>1.0097135183765837</v>
      </c>
      <c r="H1102" s="1100">
        <v>1.0304597962910307</v>
      </c>
      <c r="I1102" s="1100">
        <v>0.97001758347129152</v>
      </c>
      <c r="K1102">
        <v>1.3014648977707024</v>
      </c>
      <c r="L1102">
        <v>0</v>
      </c>
      <c r="M1102">
        <v>6.2295586687783429E-4</v>
      </c>
      <c r="N1102">
        <v>5.6459637268492971E-2</v>
      </c>
      <c r="O1102">
        <v>7.7285764283402635E-3</v>
      </c>
      <c r="P1102">
        <v>1.5964030938628592E-2</v>
      </c>
      <c r="Q1102">
        <v>4.4529975424496777E-4</v>
      </c>
      <c r="R1102">
        <v>6.2117196876390981E-4</v>
      </c>
      <c r="S1102">
        <v>5.912769654692844E-2</v>
      </c>
      <c r="T1102">
        <v>1.0170614146888732</v>
      </c>
      <c r="U1102">
        <v>0</v>
      </c>
      <c r="V1102">
        <v>9.8428154371344501E-2</v>
      </c>
      <c r="W1102">
        <v>3.7196780227669306E-2</v>
      </c>
      <c r="X1102">
        <v>7.3644661146026287E-3</v>
      </c>
      <c r="Y1102">
        <v>1.6906253296908925E-3</v>
      </c>
    </row>
    <row r="1103" spans="1:25" x14ac:dyDescent="0.25">
      <c r="A1103" s="1096"/>
      <c r="B1103" s="1455">
        <v>853</v>
      </c>
      <c r="C1103" s="1100">
        <v>1.022947537528011</v>
      </c>
      <c r="D1103" s="1100">
        <v>1.0281185098729364</v>
      </c>
      <c r="E1103" s="1100">
        <v>1.0062303254396026</v>
      </c>
      <c r="F1103" s="1100">
        <v>1.0244287734466493</v>
      </c>
      <c r="G1103" s="1100">
        <v>1.0254795222030482</v>
      </c>
      <c r="H1103" s="1100">
        <v>1.001954243848914</v>
      </c>
      <c r="I1103" s="1100">
        <v>0.96755315929936081</v>
      </c>
      <c r="K1103">
        <v>1.3351719943025049</v>
      </c>
      <c r="L1103">
        <v>0</v>
      </c>
      <c r="M1103">
        <v>5.7471350238210827E-4</v>
      </c>
      <c r="N1103">
        <v>5.3851362136149189E-2</v>
      </c>
      <c r="O1103">
        <v>7.5056028366099412E-3</v>
      </c>
      <c r="P1103">
        <v>1.6612693653912526E-2</v>
      </c>
      <c r="Q1103">
        <v>4.3728154651997237E-4</v>
      </c>
      <c r="R1103">
        <v>5.7302092968936828E-4</v>
      </c>
      <c r="S1103">
        <v>5.6506776345847005E-2</v>
      </c>
      <c r="T1103">
        <v>1.0574091605843643</v>
      </c>
      <c r="U1103">
        <v>0</v>
      </c>
      <c r="V1103">
        <v>9.8402923029527425E-2</v>
      </c>
      <c r="W1103">
        <v>3.5246248130767752E-2</v>
      </c>
      <c r="X1103">
        <v>7.6420645371830399E-3</v>
      </c>
      <c r="Y1103">
        <v>1.5595740743157556E-3</v>
      </c>
    </row>
    <row r="1104" spans="1:25" x14ac:dyDescent="0.25">
      <c r="A1104" s="1096"/>
      <c r="B1104" s="1455">
        <v>854</v>
      </c>
      <c r="C1104" s="1100">
        <v>0.97196727353174828</v>
      </c>
      <c r="D1104" s="1100">
        <v>1.0049003296786163</v>
      </c>
      <c r="E1104" s="1100">
        <v>1.0188663431870708</v>
      </c>
      <c r="F1104" s="1100">
        <v>0.97297911950212579</v>
      </c>
      <c r="G1104" s="1100">
        <v>1.0032139892073642</v>
      </c>
      <c r="H1104" s="1100">
        <v>1.0029175180497121</v>
      </c>
      <c r="I1104" s="1100">
        <v>0.99499813670198844</v>
      </c>
      <c r="K1104">
        <v>1.293971941751267</v>
      </c>
      <c r="L1104">
        <v>0</v>
      </c>
      <c r="M1104">
        <v>5.9515935768357715E-4</v>
      </c>
      <c r="N1104">
        <v>5.793542648577972E-2</v>
      </c>
      <c r="O1104">
        <v>7.9749724864449732E-3</v>
      </c>
      <c r="P1104">
        <v>1.610704852047817E-2</v>
      </c>
      <c r="Q1104">
        <v>4.7052515139529958E-4</v>
      </c>
      <c r="R1104">
        <v>5.9340825397618375E-4</v>
      </c>
      <c r="S1104">
        <v>6.1953190299663757E-2</v>
      </c>
      <c r="T1104">
        <v>1.0039417784622202</v>
      </c>
      <c r="U1104">
        <v>0</v>
      </c>
      <c r="V1104">
        <v>9.8610917184301455E-2</v>
      </c>
      <c r="W1104">
        <v>3.7638376757808248E-2</v>
      </c>
      <c r="X1104">
        <v>7.7263958565371134E-3</v>
      </c>
      <c r="Y1104">
        <v>1.6150616503448217E-3</v>
      </c>
    </row>
    <row r="1105" spans="1:25" x14ac:dyDescent="0.25">
      <c r="A1105" s="1096"/>
      <c r="B1105" s="1455">
        <v>855</v>
      </c>
      <c r="C1105" s="1100">
        <v>1.0146515006977139</v>
      </c>
      <c r="D1105" s="1100">
        <v>1.0077257233041439</v>
      </c>
      <c r="E1105" s="1100">
        <v>1.0073167258776703</v>
      </c>
      <c r="F1105" s="1100">
        <v>0.9920147843670053</v>
      </c>
      <c r="G1105" s="1100">
        <v>1.0144616931755071</v>
      </c>
      <c r="H1105" s="1100">
        <v>0.97329339810187199</v>
      </c>
      <c r="I1105" s="1100">
        <v>0.98072011359858269</v>
      </c>
      <c r="K1105">
        <v>1.3008364613197643</v>
      </c>
      <c r="L1105">
        <v>0</v>
      </c>
      <c r="M1105">
        <v>5.6608853966881297E-4</v>
      </c>
      <c r="N1105">
        <v>5.3212863813883675E-2</v>
      </c>
      <c r="O1105">
        <v>7.6281163093184362E-3</v>
      </c>
      <c r="P1105">
        <v>1.6176221401987049E-2</v>
      </c>
      <c r="Q1105">
        <v>4.4490303177177935E-4</v>
      </c>
      <c r="R1105">
        <v>5.6437227444104622E-4</v>
      </c>
      <c r="S1105">
        <v>5.7524737720072314E-2</v>
      </c>
      <c r="T1105">
        <v>1.0239197765573529</v>
      </c>
      <c r="U1105">
        <v>0</v>
      </c>
      <c r="V1105">
        <v>9.8069212510328199E-2</v>
      </c>
      <c r="W1105">
        <v>3.4805983159349248E-2</v>
      </c>
      <c r="X1105">
        <v>7.5203277951694106E-3</v>
      </c>
      <c r="Y1105">
        <v>1.5360352857582591E-3</v>
      </c>
    </row>
    <row r="1106" spans="1:25" x14ac:dyDescent="0.25">
      <c r="A1106" s="1096"/>
      <c r="B1106" s="1455">
        <v>856</v>
      </c>
      <c r="C1106" s="1100">
        <v>1.0283591167750399</v>
      </c>
      <c r="D1106" s="1100">
        <v>1.0367439765237061</v>
      </c>
      <c r="E1106" s="1100">
        <v>0.98963988177644191</v>
      </c>
      <c r="F1106" s="1100">
        <v>0.98637062041964729</v>
      </c>
      <c r="G1106" s="1100">
        <v>1.0053341139494354</v>
      </c>
      <c r="H1106" s="1100">
        <v>1.0114880298327238</v>
      </c>
      <c r="I1106" s="1100">
        <v>0.98645393127657832</v>
      </c>
      <c r="K1106">
        <v>1.2938959488471027</v>
      </c>
      <c r="L1106">
        <v>0</v>
      </c>
      <c r="M1106">
        <v>5.9533623307535233E-4</v>
      </c>
      <c r="N1106">
        <v>5.3057663316124541E-2</v>
      </c>
      <c r="O1106">
        <v>7.4372947848303792E-3</v>
      </c>
      <c r="P1106">
        <v>1.5878652265550811E-2</v>
      </c>
      <c r="Q1106">
        <v>4.2612772264512668E-4</v>
      </c>
      <c r="R1106">
        <v>5.9359945076946287E-4</v>
      </c>
      <c r="S1106">
        <v>5.7311687839823884E-2</v>
      </c>
      <c r="T1106">
        <v>1.018613860554946</v>
      </c>
      <c r="U1106">
        <v>0</v>
      </c>
      <c r="V1106">
        <v>9.7282464656632262E-2</v>
      </c>
      <c r="W1106">
        <v>3.5071447195725088E-2</v>
      </c>
      <c r="X1106">
        <v>7.2029052681413554E-3</v>
      </c>
      <c r="Y1106">
        <v>1.615582024988122E-3</v>
      </c>
    </row>
    <row r="1107" spans="1:25" x14ac:dyDescent="0.25">
      <c r="A1107" s="1096"/>
      <c r="B1107" s="1455">
        <v>857</v>
      </c>
      <c r="C1107" s="1100">
        <v>1.0280006803310202</v>
      </c>
      <c r="D1107" s="1100">
        <v>0.9809231186002827</v>
      </c>
      <c r="E1107" s="1100">
        <v>1.0243237140138615</v>
      </c>
      <c r="F1107" s="1100">
        <v>1.0137343368743448</v>
      </c>
      <c r="G1107" s="1100">
        <v>0.97276201892825909</v>
      </c>
      <c r="H1107" s="1100">
        <v>0.99903401154251859</v>
      </c>
      <c r="I1107" s="1100">
        <v>0.98716138399661102</v>
      </c>
      <c r="K1107">
        <v>1.3257203123867551</v>
      </c>
      <c r="L1107">
        <v>0</v>
      </c>
      <c r="M1107">
        <v>5.5958903394332004E-4</v>
      </c>
      <c r="N1107">
        <v>5.5376361431972838E-2</v>
      </c>
      <c r="O1107">
        <v>7.614787565006954E-3</v>
      </c>
      <c r="P1107">
        <v>1.6669182524843586E-2</v>
      </c>
      <c r="Q1107">
        <v>4.517161337838069E-4</v>
      </c>
      <c r="R1107">
        <v>5.5793618661636557E-4</v>
      </c>
      <c r="S1107">
        <v>5.8762976347454601E-2</v>
      </c>
      <c r="T1107">
        <v>1.0458328080563244</v>
      </c>
      <c r="U1107">
        <v>0</v>
      </c>
      <c r="V1107">
        <v>9.5753365554557116E-2</v>
      </c>
      <c r="W1107">
        <v>3.5861313451067196E-2</v>
      </c>
      <c r="X1107">
        <v>7.8809357927151231E-3</v>
      </c>
      <c r="Y1107">
        <v>1.5185183763552594E-3</v>
      </c>
    </row>
    <row r="1108" spans="1:25" x14ac:dyDescent="0.25">
      <c r="A1108" s="1096"/>
      <c r="B1108" s="1455">
        <v>858</v>
      </c>
      <c r="C1108" s="1100">
        <v>0.98250261956957641</v>
      </c>
      <c r="D1108" s="1100">
        <v>1.0123045571289924</v>
      </c>
      <c r="E1108" s="1100">
        <v>0.96313399001678768</v>
      </c>
      <c r="F1108" s="1100">
        <v>0.98479904005976737</v>
      </c>
      <c r="G1108" s="1100">
        <v>0.99588330174080519</v>
      </c>
      <c r="H1108" s="1100">
        <v>1.043204421152373</v>
      </c>
      <c r="I1108" s="1100">
        <v>0.9763119437662694</v>
      </c>
      <c r="K1108">
        <v>1.3036951440494453</v>
      </c>
      <c r="L1108">
        <v>0</v>
      </c>
      <c r="M1108">
        <v>6.8535458956437356E-4</v>
      </c>
      <c r="N1108">
        <v>5.6376877706186448E-2</v>
      </c>
      <c r="O1108">
        <v>7.8524880167862611E-3</v>
      </c>
      <c r="P1108">
        <v>1.5608355539449868E-2</v>
      </c>
      <c r="Q1108">
        <v>4.3793356995041959E-4</v>
      </c>
      <c r="R1108">
        <v>6.8341598279534602E-4</v>
      </c>
      <c r="S1108">
        <v>6.1063726681142051E-2</v>
      </c>
      <c r="T1108">
        <v>1.0177862991228404</v>
      </c>
      <c r="U1108">
        <v>0</v>
      </c>
      <c r="V1108">
        <v>9.7920460324416272E-2</v>
      </c>
      <c r="W1108">
        <v>3.7868449093354746E-2</v>
      </c>
      <c r="X1108">
        <v>6.9224595849373743E-3</v>
      </c>
      <c r="Y1108">
        <v>1.860033017150751E-3</v>
      </c>
    </row>
    <row r="1109" spans="1:25" x14ac:dyDescent="0.25">
      <c r="A1109" s="1096"/>
      <c r="B1109" s="1455">
        <v>859</v>
      </c>
      <c r="C1109" s="1100">
        <v>1.0450692616297435</v>
      </c>
      <c r="D1109" s="1100">
        <v>1.0134251688644158</v>
      </c>
      <c r="E1109" s="1100">
        <v>1.0101279867785999</v>
      </c>
      <c r="F1109" s="1100">
        <v>1.0079640161223831</v>
      </c>
      <c r="G1109" s="1100">
        <v>1.0105851325383535</v>
      </c>
      <c r="H1109" s="1100">
        <v>0.97255495929641822</v>
      </c>
      <c r="I1109" s="1100">
        <v>0.97095078957557557</v>
      </c>
      <c r="K1109">
        <v>1.3112005515642955</v>
      </c>
      <c r="L1109">
        <v>0</v>
      </c>
      <c r="M1109">
        <v>5.4476709604200663E-4</v>
      </c>
      <c r="N1109">
        <v>5.1645016563106792E-2</v>
      </c>
      <c r="O1109">
        <v>7.3900614755170162E-3</v>
      </c>
      <c r="P1109">
        <v>1.638945521897987E-2</v>
      </c>
      <c r="Q1109">
        <v>4.3223252654802182E-4</v>
      </c>
      <c r="R1109">
        <v>5.4311421905179475E-4</v>
      </c>
      <c r="S1109">
        <v>5.5108250677285767E-2</v>
      </c>
      <c r="T1109">
        <v>1.0402983561672481</v>
      </c>
      <c r="U1109">
        <v>0</v>
      </c>
      <c r="V1109">
        <v>9.7173778413101736E-2</v>
      </c>
      <c r="W1109">
        <v>3.3724461556878686E-2</v>
      </c>
      <c r="X1109">
        <v>7.5624139759136629E-3</v>
      </c>
      <c r="Y1109">
        <v>1.4781778667047924E-3</v>
      </c>
    </row>
    <row r="1110" spans="1:25" x14ac:dyDescent="0.25">
      <c r="A1110" s="1096"/>
      <c r="B1110" s="1455">
        <v>860</v>
      </c>
      <c r="C1110" s="1100">
        <v>1.0232276280887602</v>
      </c>
      <c r="D1110" s="1100">
        <v>0.96811701137312967</v>
      </c>
      <c r="E1110" s="1100">
        <v>0.98280713372881778</v>
      </c>
      <c r="F1110" s="1100">
        <v>0.99368792474253065</v>
      </c>
      <c r="G1110" s="1100">
        <v>0.97938425318034084</v>
      </c>
      <c r="H1110" s="1100">
        <v>0.97893100627823781</v>
      </c>
      <c r="I1110" s="1100">
        <v>1.0204487616179247</v>
      </c>
      <c r="K1110">
        <v>1.3038630335642345</v>
      </c>
      <c r="L1110">
        <v>0</v>
      </c>
      <c r="M1110">
        <v>6.0362293626326456E-4</v>
      </c>
      <c r="N1110">
        <v>5.2690820982175819E-2</v>
      </c>
      <c r="O1110">
        <v>7.6805324282200613E-3</v>
      </c>
      <c r="P1110">
        <v>1.5933002163556698E-2</v>
      </c>
      <c r="Q1110">
        <v>4.3702919636868815E-4</v>
      </c>
      <c r="R1110">
        <v>6.0180341360758724E-4</v>
      </c>
      <c r="S1110">
        <v>6.0799001137595982E-2</v>
      </c>
      <c r="T1110">
        <v>1.0263752450540897</v>
      </c>
      <c r="U1110">
        <v>0</v>
      </c>
      <c r="V1110">
        <v>9.614054036496901E-2</v>
      </c>
      <c r="W1110">
        <v>3.4972245974389027E-2</v>
      </c>
      <c r="X1110">
        <v>7.1985252781271818E-3</v>
      </c>
      <c r="Y1110">
        <v>1.637910507397874E-3</v>
      </c>
    </row>
    <row r="1111" spans="1:25" x14ac:dyDescent="0.25">
      <c r="A1111" s="1096"/>
      <c r="B1111" s="1455">
        <v>861</v>
      </c>
      <c r="C1111" s="1100">
        <v>0.97505661698034185</v>
      </c>
      <c r="D1111" s="1100">
        <v>1.023807471348867</v>
      </c>
      <c r="E1111" s="1100">
        <v>0.98529408417117526</v>
      </c>
      <c r="F1111" s="1100">
        <v>0.98216269793754218</v>
      </c>
      <c r="G1111" s="1100">
        <v>0.9997814004708846</v>
      </c>
      <c r="H1111" s="1100">
        <v>0.99534302338101766</v>
      </c>
      <c r="I1111" s="1100">
        <v>0.98594223792353619</v>
      </c>
      <c r="K1111">
        <v>1.2977696366368876</v>
      </c>
      <c r="L1111">
        <v>0</v>
      </c>
      <c r="M1111">
        <v>6.2658195208454258E-4</v>
      </c>
      <c r="N1111">
        <v>5.5110672603423817E-2</v>
      </c>
      <c r="O1111">
        <v>7.8822764359244984E-3</v>
      </c>
      <c r="P1111">
        <v>1.5824511934132382E-2</v>
      </c>
      <c r="Q1111">
        <v>4.496411976455968E-4</v>
      </c>
      <c r="R1111">
        <v>6.2472436611116678E-4</v>
      </c>
      <c r="S1111">
        <v>6.0322346153445498E-2</v>
      </c>
      <c r="T1111">
        <v>1.0143970289710535</v>
      </c>
      <c r="U1111">
        <v>0</v>
      </c>
      <c r="V1111">
        <v>9.8326193478617915E-2</v>
      </c>
      <c r="W1111">
        <v>3.6523651408163028E-2</v>
      </c>
      <c r="X1111">
        <v>7.2348782562307703E-3</v>
      </c>
      <c r="Y1111">
        <v>1.700293784222655E-3</v>
      </c>
    </row>
    <row r="1112" spans="1:25" x14ac:dyDescent="0.25">
      <c r="A1112" s="1096"/>
      <c r="B1112" s="1455">
        <v>862</v>
      </c>
      <c r="C1112" s="1100">
        <v>0.97509727417110503</v>
      </c>
      <c r="D1112" s="1100">
        <v>1.0381827687010967</v>
      </c>
      <c r="E1112" s="1100">
        <v>0.99389871070305658</v>
      </c>
      <c r="F1112" s="1100">
        <v>0.99049459050885047</v>
      </c>
      <c r="G1112" s="1100">
        <v>1.0026534623286165</v>
      </c>
      <c r="H1112" s="1100">
        <v>0.96307665090635375</v>
      </c>
      <c r="I1112" s="1100">
        <v>0.9985310780833162</v>
      </c>
      <c r="K1112">
        <v>1.302880520345707</v>
      </c>
      <c r="L1112">
        <v>0</v>
      </c>
      <c r="M1112">
        <v>5.9222492637188656E-4</v>
      </c>
      <c r="N1112">
        <v>5.3456434233726362E-2</v>
      </c>
      <c r="O1112">
        <v>7.8402402396353255E-3</v>
      </c>
      <c r="P1112">
        <v>1.6033610174500654E-2</v>
      </c>
      <c r="Q1112">
        <v>4.5115089990323428E-4</v>
      </c>
      <c r="R1112">
        <v>5.9041037341612027E-4</v>
      </c>
      <c r="S1112">
        <v>5.9649914938910559E-2</v>
      </c>
      <c r="T1112">
        <v>1.0227460428131665</v>
      </c>
      <c r="U1112">
        <v>0</v>
      </c>
      <c r="V1112">
        <v>9.8473717917108766E-2</v>
      </c>
      <c r="W1112">
        <v>3.5245127665197142E-2</v>
      </c>
      <c r="X1112">
        <v>7.3791936088031564E-3</v>
      </c>
      <c r="Y1112">
        <v>1.6069024077113906E-3</v>
      </c>
    </row>
    <row r="1113" spans="1:25" x14ac:dyDescent="0.25">
      <c r="A1113" s="1096"/>
      <c r="B1113" s="1455">
        <v>863</v>
      </c>
      <c r="C1113" s="1100">
        <v>0.97138893071302357</v>
      </c>
      <c r="D1113" s="1100">
        <v>0.96636149349511491</v>
      </c>
      <c r="E1113" s="1100">
        <v>1.0016502275654793</v>
      </c>
      <c r="F1113" s="1100">
        <v>1.0219450690344465</v>
      </c>
      <c r="G1113" s="1100">
        <v>0.96369782535259951</v>
      </c>
      <c r="H1113" s="1100">
        <v>1.0476976105070313</v>
      </c>
      <c r="I1113" s="1100">
        <v>1.0063768758659446</v>
      </c>
      <c r="K1113">
        <v>1.3521146329398879</v>
      </c>
      <c r="L1113">
        <v>0</v>
      </c>
      <c r="M1113">
        <v>6.5492209580093354E-4</v>
      </c>
      <c r="N1113">
        <v>6.0531738230245415E-2</v>
      </c>
      <c r="O1113">
        <v>8.1011053152374064E-3</v>
      </c>
      <c r="P1113">
        <v>1.6621929841491193E-2</v>
      </c>
      <c r="Q1113">
        <v>4.6981273829252315E-4</v>
      </c>
      <c r="R1113">
        <v>6.5307751574821167E-4</v>
      </c>
      <c r="S1113">
        <v>6.5446874766785151E-2</v>
      </c>
      <c r="T1113">
        <v>1.0549842654975632</v>
      </c>
      <c r="U1113">
        <v>0</v>
      </c>
      <c r="V1113">
        <v>9.6694902174890199E-2</v>
      </c>
      <c r="W1113">
        <v>3.9726279673104582E-2</v>
      </c>
      <c r="X1113">
        <v>7.7621075714099791E-3</v>
      </c>
      <c r="Y1113">
        <v>1.7774617109214254E-3</v>
      </c>
    </row>
    <row r="1114" spans="1:25" x14ac:dyDescent="0.25">
      <c r="A1114" s="1096"/>
      <c r="B1114" s="1455">
        <v>864</v>
      </c>
      <c r="C1114" s="1100">
        <v>1.0268999873619562</v>
      </c>
      <c r="D1114" s="1100">
        <v>0.99764809812143052</v>
      </c>
      <c r="E1114" s="1100">
        <v>1.0026166474713252</v>
      </c>
      <c r="F1114" s="1100">
        <v>1.0207560847300772</v>
      </c>
      <c r="G1114" s="1100">
        <v>0.99423383982889291</v>
      </c>
      <c r="H1114" s="1100">
        <v>0.99827708009435767</v>
      </c>
      <c r="I1114" s="1100">
        <v>1.005135910468455</v>
      </c>
      <c r="K1114">
        <v>1.3328105091522262</v>
      </c>
      <c r="L1114">
        <v>0</v>
      </c>
      <c r="M1114">
        <v>5.8165275505177034E-4</v>
      </c>
      <c r="N1114">
        <v>5.3909387800052486E-2</v>
      </c>
      <c r="O1114">
        <v>7.5663678588956578E-3</v>
      </c>
      <c r="P1114">
        <v>1.6534198556565214E-2</v>
      </c>
      <c r="Q1114">
        <v>4.3922732309082074E-4</v>
      </c>
      <c r="R1114">
        <v>5.7993343587259218E-4</v>
      </c>
      <c r="S1114">
        <v>5.9312570989592771E-2</v>
      </c>
      <c r="T1114">
        <v>1.0537275417218461</v>
      </c>
      <c r="U1114">
        <v>0</v>
      </c>
      <c r="V1114">
        <v>9.6794040205588072E-2</v>
      </c>
      <c r="W1114">
        <v>3.5359825813258208E-2</v>
      </c>
      <c r="X1114">
        <v>7.590680565075651E-3</v>
      </c>
      <c r="Y1114">
        <v>1.5783876374394399E-3</v>
      </c>
    </row>
    <row r="1115" spans="1:25" x14ac:dyDescent="0.25">
      <c r="A1115" s="1096"/>
      <c r="B1115" s="1455">
        <v>865</v>
      </c>
      <c r="C1115" s="1100">
        <v>1.0147348905117695</v>
      </c>
      <c r="D1115" s="1100">
        <v>0.99164595710659831</v>
      </c>
      <c r="E1115" s="1100">
        <v>1.0019817899210688</v>
      </c>
      <c r="F1115" s="1100">
        <v>1.0193584737848576</v>
      </c>
      <c r="G1115" s="1100">
        <v>0.97571825265156287</v>
      </c>
      <c r="H1115" s="1100">
        <v>0.96905291631408952</v>
      </c>
      <c r="I1115" s="1100">
        <v>0.99846035125784438</v>
      </c>
      <c r="K1115">
        <v>1.3290406614090255</v>
      </c>
      <c r="L1115">
        <v>0</v>
      </c>
      <c r="M1115">
        <v>5.7353001653216566E-4</v>
      </c>
      <c r="N1115">
        <v>5.3049962073249961E-2</v>
      </c>
      <c r="O1115">
        <v>7.6754275777073284E-3</v>
      </c>
      <c r="P1115">
        <v>1.6493508269914962E-2</v>
      </c>
      <c r="Q1115">
        <v>4.4527435591449542E-4</v>
      </c>
      <c r="R1115">
        <v>5.7178358132572743E-4</v>
      </c>
      <c r="S1115">
        <v>5.8936737231219297E-2</v>
      </c>
      <c r="T1115">
        <v>1.0523040046042293</v>
      </c>
      <c r="U1115">
        <v>0</v>
      </c>
      <c r="V1115">
        <v>9.6186935765407128E-2</v>
      </c>
      <c r="W1115">
        <v>3.4809226076267262E-2</v>
      </c>
      <c r="X1115">
        <v>7.5851254703590406E-3</v>
      </c>
      <c r="Y1115">
        <v>1.5562064199617035E-3</v>
      </c>
    </row>
    <row r="1116" spans="1:25" x14ac:dyDescent="0.25">
      <c r="A1116" s="1096"/>
      <c r="B1116" s="1455">
        <v>866</v>
      </c>
      <c r="C1116" s="1100">
        <v>0.96466505446809681</v>
      </c>
      <c r="D1116" s="1100">
        <v>0.98736056232325609</v>
      </c>
      <c r="E1116" s="1100">
        <v>1.0167986105558424</v>
      </c>
      <c r="F1116" s="1100">
        <v>1.0081878513547538</v>
      </c>
      <c r="G1116" s="1100">
        <v>1.019155098216459</v>
      </c>
      <c r="H1116" s="1100">
        <v>1.013865555912667</v>
      </c>
      <c r="I1116" s="1100">
        <v>1.0323036029475929</v>
      </c>
      <c r="K1116">
        <v>1.3383454304098839</v>
      </c>
      <c r="L1116">
        <v>0</v>
      </c>
      <c r="M1116">
        <v>6.1312670581755455E-4</v>
      </c>
      <c r="N1116">
        <v>5.9315131321407685E-2</v>
      </c>
      <c r="O1116">
        <v>8.0916057271735869E-3</v>
      </c>
      <c r="P1116">
        <v>1.6650684636650311E-2</v>
      </c>
      <c r="Q1116">
        <v>4.7642500865207173E-4</v>
      </c>
      <c r="R1116">
        <v>6.1134221760999617E-4</v>
      </c>
      <c r="S1116">
        <v>6.5734449257242616E-2</v>
      </c>
      <c r="T1116">
        <v>1.0403318867634794</v>
      </c>
      <c r="U1116">
        <v>0</v>
      </c>
      <c r="V1116">
        <v>9.9572896672977848E-2</v>
      </c>
      <c r="W1116">
        <v>3.8581441510091088E-2</v>
      </c>
      <c r="X1116">
        <v>7.9288220129885272E-3</v>
      </c>
      <c r="Y1116">
        <v>1.6638719874265363E-3</v>
      </c>
    </row>
    <row r="1117" spans="1:25" x14ac:dyDescent="0.25">
      <c r="A1117" s="1096"/>
      <c r="B1117" s="1455">
        <v>867</v>
      </c>
      <c r="C1117" s="1100">
        <v>0.98943674758811784</v>
      </c>
      <c r="D1117" s="1100">
        <v>1.0004630360926607</v>
      </c>
      <c r="E1117" s="1100">
        <v>0.96866887843586813</v>
      </c>
      <c r="F1117" s="1100">
        <v>0.9785055475938178</v>
      </c>
      <c r="G1117" s="1100">
        <v>0.99457429727580104</v>
      </c>
      <c r="H1117" s="1100">
        <v>0.97878319637437072</v>
      </c>
      <c r="I1117" s="1100">
        <v>1.001299735316606</v>
      </c>
      <c r="K1117">
        <v>1.2904873087612077</v>
      </c>
      <c r="L1117">
        <v>0</v>
      </c>
      <c r="M1117">
        <v>6.342536246745213E-4</v>
      </c>
      <c r="N1117">
        <v>5.3045446273625126E-2</v>
      </c>
      <c r="O1117">
        <v>7.8356079604988815E-3</v>
      </c>
      <c r="P1117">
        <v>1.5576766074973509E-2</v>
      </c>
      <c r="Q1117">
        <v>4.3947696964658048E-4</v>
      </c>
      <c r="R1117">
        <v>6.323414820998297E-4</v>
      </c>
      <c r="S1117">
        <v>6.0595353849066745E-2</v>
      </c>
      <c r="T1117">
        <v>1.0111152624469166</v>
      </c>
      <c r="U1117">
        <v>0</v>
      </c>
      <c r="V1117">
        <v>9.7686582798186511E-2</v>
      </c>
      <c r="W1117">
        <v>3.5510502502896238E-2</v>
      </c>
      <c r="X1117">
        <v>6.9631969650079638E-3</v>
      </c>
      <c r="Y1117">
        <v>1.7210250629621847E-3</v>
      </c>
    </row>
    <row r="1118" spans="1:25" x14ac:dyDescent="0.25">
      <c r="A1118" s="1096"/>
      <c r="B1118" s="1455">
        <v>868</v>
      </c>
      <c r="C1118" s="1100">
        <v>1.0213488551736212</v>
      </c>
      <c r="D1118" s="1100">
        <v>0.97615901219574952</v>
      </c>
      <c r="E1118" s="1100">
        <v>0.98650167754287954</v>
      </c>
      <c r="F1118" s="1100">
        <v>1.016943388200314</v>
      </c>
      <c r="G1118" s="1100">
        <v>0.9948173623348715</v>
      </c>
      <c r="H1118" s="1100">
        <v>1.015342321865611</v>
      </c>
      <c r="I1118" s="1100">
        <v>0.97772219444574704</v>
      </c>
      <c r="K1118">
        <v>1.330882373234231</v>
      </c>
      <c r="L1118">
        <v>0</v>
      </c>
      <c r="M1118">
        <v>6.2039307540860201E-4</v>
      </c>
      <c r="N1118">
        <v>5.4769191467002411E-2</v>
      </c>
      <c r="O1118">
        <v>7.6701354928281765E-3</v>
      </c>
      <c r="P1118">
        <v>1.6289224160983332E-2</v>
      </c>
      <c r="Q1118">
        <v>4.3807530894990424E-4</v>
      </c>
      <c r="R1118">
        <v>6.1859006484538863E-4</v>
      </c>
      <c r="S1118">
        <v>5.917889212710125E-2</v>
      </c>
      <c r="T1118">
        <v>1.0502821424397939</v>
      </c>
      <c r="U1118">
        <v>0</v>
      </c>
      <c r="V1118">
        <v>9.6935662738391506E-2</v>
      </c>
      <c r="W1118">
        <v>3.6271006534274716E-2</v>
      </c>
      <c r="X1118">
        <v>7.3662477371182009E-3</v>
      </c>
      <c r="Y1118">
        <v>1.6835982383490756E-3</v>
      </c>
    </row>
    <row r="1119" spans="1:25" x14ac:dyDescent="0.25">
      <c r="A1119" s="1096"/>
      <c r="B1119" s="1455">
        <v>869</v>
      </c>
      <c r="C1119" s="1100">
        <v>0.97048793022510715</v>
      </c>
      <c r="D1119" s="1100">
        <v>1.0234158733037448</v>
      </c>
      <c r="E1119" s="1100">
        <v>0.98541781859385158</v>
      </c>
      <c r="F1119" s="1100">
        <v>1.0031512517231953</v>
      </c>
      <c r="G1119" s="1100">
        <v>1.0151700393700347</v>
      </c>
      <c r="H1119" s="1100">
        <v>0.95417190944259878</v>
      </c>
      <c r="I1119" s="1100">
        <v>0.98600100589595219</v>
      </c>
      <c r="K1119">
        <v>1.3163469315367333</v>
      </c>
      <c r="L1119">
        <v>0</v>
      </c>
      <c r="M1119">
        <v>6.0342968874274345E-4</v>
      </c>
      <c r="N1119">
        <v>5.3087381741397592E-2</v>
      </c>
      <c r="O1119">
        <v>7.9206260857276108E-3</v>
      </c>
      <c r="P1119">
        <v>1.6117013759343431E-2</v>
      </c>
      <c r="Q1119">
        <v>4.5188549566156758E-4</v>
      </c>
      <c r="R1119">
        <v>6.0156355027591777E-4</v>
      </c>
      <c r="S1119">
        <v>5.9357287993883373E-2</v>
      </c>
      <c r="T1119">
        <v>1.0360706729268483</v>
      </c>
      <c r="U1119">
        <v>0</v>
      </c>
      <c r="V1119">
        <v>9.9190339750805004E-2</v>
      </c>
      <c r="W1119">
        <v>3.5180132744235364E-2</v>
      </c>
      <c r="X1119">
        <v>7.3361994988177769E-3</v>
      </c>
      <c r="Y1119">
        <v>1.6372576784799955E-3</v>
      </c>
    </row>
    <row r="1120" spans="1:25" x14ac:dyDescent="0.25">
      <c r="A1120" s="1096"/>
      <c r="B1120" s="1455">
        <v>870</v>
      </c>
      <c r="C1120" s="1100">
        <v>1.0080256716467126</v>
      </c>
      <c r="D1120" s="1100">
        <v>1.0143226634885918</v>
      </c>
      <c r="E1120" s="1100">
        <v>1.035626115320035</v>
      </c>
      <c r="F1120" s="1100">
        <v>1.003778065937212</v>
      </c>
      <c r="G1120" s="1100">
        <v>1.0309978450227943</v>
      </c>
      <c r="H1120" s="1100">
        <v>0.96186155904055193</v>
      </c>
      <c r="I1120" s="1100">
        <v>1.0231369911996209</v>
      </c>
      <c r="K1120">
        <v>1.3175417667674112</v>
      </c>
      <c r="L1120">
        <v>0</v>
      </c>
      <c r="M1120">
        <v>5.295152877860987E-4</v>
      </c>
      <c r="N1120">
        <v>5.4210232784070292E-2</v>
      </c>
      <c r="O1120">
        <v>7.6651194468734885E-3</v>
      </c>
      <c r="P1120">
        <v>1.6720082021242446E-2</v>
      </c>
      <c r="Q1120">
        <v>4.5981156753723202E-4</v>
      </c>
      <c r="R1120">
        <v>5.2789082505087283E-4</v>
      </c>
      <c r="S1120">
        <v>5.9870621612741225E-2</v>
      </c>
      <c r="T1120">
        <v>1.0352336835141382</v>
      </c>
      <c r="U1120">
        <v>0</v>
      </c>
      <c r="V1120">
        <v>9.9061841679862025E-2</v>
      </c>
      <c r="W1120">
        <v>3.4876562543180646E-2</v>
      </c>
      <c r="X1120">
        <v>8.0086912538766177E-3</v>
      </c>
      <c r="Y1120">
        <v>1.4367448066247663E-3</v>
      </c>
    </row>
    <row r="1121" spans="1:25" x14ac:dyDescent="0.25">
      <c r="A1121" s="1096"/>
      <c r="B1121" s="1455">
        <v>871</v>
      </c>
      <c r="C1121" s="1100">
        <v>1.0357942954488033</v>
      </c>
      <c r="D1121" s="1100">
        <v>0.97650128438203776</v>
      </c>
      <c r="E1121" s="1100">
        <v>0.9994425086206471</v>
      </c>
      <c r="F1121" s="1100">
        <v>0.95954803262637345</v>
      </c>
      <c r="G1121" s="1100">
        <v>1.0286539025008854</v>
      </c>
      <c r="H1121" s="1100">
        <v>1.0376871678681785</v>
      </c>
      <c r="I1121" s="1100">
        <v>1.0105419972509231</v>
      </c>
      <c r="K1121">
        <v>1.2750618389958432</v>
      </c>
      <c r="L1121">
        <v>0</v>
      </c>
      <c r="M1121">
        <v>6.0857695653167016E-4</v>
      </c>
      <c r="N1121">
        <v>5.5872814323139938E-2</v>
      </c>
      <c r="O1121">
        <v>7.5651981537573207E-3</v>
      </c>
      <c r="P1121">
        <v>1.5677603537260141E-2</v>
      </c>
      <c r="Q1121">
        <v>4.3776127740044208E-4</v>
      </c>
      <c r="R1121">
        <v>6.0684637176682964E-4</v>
      </c>
      <c r="S1121">
        <v>6.0985625116333292E-2</v>
      </c>
      <c r="T1121">
        <v>0.99063297071465872</v>
      </c>
      <c r="U1121">
        <v>0</v>
      </c>
      <c r="V1121">
        <v>9.8248431936219613E-2</v>
      </c>
      <c r="W1121">
        <v>3.6716807320328747E-2</v>
      </c>
      <c r="X1121">
        <v>7.2747214244122541E-3</v>
      </c>
      <c r="Y1121">
        <v>1.6516357770966215E-3</v>
      </c>
    </row>
    <row r="1122" spans="1:25" x14ac:dyDescent="0.25">
      <c r="A1122" s="1096"/>
      <c r="B1122" s="1455">
        <v>872</v>
      </c>
      <c r="C1122" s="1100">
        <v>0.96024506969283308</v>
      </c>
      <c r="D1122" s="1100">
        <v>0.96014447748967036</v>
      </c>
      <c r="E1122" s="1100">
        <v>0.98680541890243534</v>
      </c>
      <c r="F1122" s="1100">
        <v>1.0209318640853005</v>
      </c>
      <c r="G1122" s="1100">
        <v>1.0114671112319826</v>
      </c>
      <c r="H1122" s="1100">
        <v>1.0255331893899811</v>
      </c>
      <c r="I1122" s="1100">
        <v>0.98964758407894005</v>
      </c>
      <c r="K1122">
        <v>1.3512660813649766</v>
      </c>
      <c r="L1122">
        <v>0</v>
      </c>
      <c r="M1122">
        <v>6.7049682920609195E-4</v>
      </c>
      <c r="N1122">
        <v>5.9248536087237715E-2</v>
      </c>
      <c r="O1122">
        <v>8.2124514080391762E-3</v>
      </c>
      <c r="P1122">
        <v>1.6453546254319204E-2</v>
      </c>
      <c r="Q1122">
        <v>4.6919365915061416E-4</v>
      </c>
      <c r="R1122">
        <v>6.6856756890976284E-4</v>
      </c>
      <c r="S1122">
        <v>6.4606271623882675E-2</v>
      </c>
      <c r="T1122">
        <v>1.054392020007282</v>
      </c>
      <c r="U1122">
        <v>0</v>
      </c>
      <c r="V1122">
        <v>9.9285120584252096E-2</v>
      </c>
      <c r="W1122">
        <v>3.9230303553478021E-2</v>
      </c>
      <c r="X1122">
        <v>7.5509469182969682E-3</v>
      </c>
      <c r="Y1122">
        <v>1.8196205293325152E-3</v>
      </c>
    </row>
    <row r="1123" spans="1:25" x14ac:dyDescent="0.25">
      <c r="A1123" s="1096"/>
      <c r="B1123" s="1455">
        <v>873</v>
      </c>
      <c r="C1123" s="1100">
        <v>1.0034864242508541</v>
      </c>
      <c r="D1123" s="1100">
        <v>1.0011600568467167</v>
      </c>
      <c r="E1123" s="1100">
        <v>1.0199226802621122</v>
      </c>
      <c r="F1123" s="1100">
        <v>0.98833639774976922</v>
      </c>
      <c r="G1123" s="1100">
        <v>1.0230771912355154</v>
      </c>
      <c r="H1123" s="1100">
        <v>0.98381202915805355</v>
      </c>
      <c r="I1123" s="1100">
        <v>0.96159439682884928</v>
      </c>
      <c r="K1123">
        <v>1.3008138397447218</v>
      </c>
      <c r="L1123">
        <v>0</v>
      </c>
      <c r="M1123">
        <v>5.6508485476292796E-4</v>
      </c>
      <c r="N1123">
        <v>5.5180263017908557E-2</v>
      </c>
      <c r="O1123">
        <v>7.7362708586957802E-3</v>
      </c>
      <c r="P1123">
        <v>1.6279698449669339E-2</v>
      </c>
      <c r="Q1123">
        <v>4.5692144675429621E-4</v>
      </c>
      <c r="R1123">
        <v>5.6338994977583553E-4</v>
      </c>
      <c r="S1123">
        <v>5.7550795151610469E-2</v>
      </c>
      <c r="T1123">
        <v>1.0197572905122629</v>
      </c>
      <c r="U1123">
        <v>0</v>
      </c>
      <c r="V1123">
        <v>9.8772035876275768E-2</v>
      </c>
      <c r="W1123">
        <v>3.5826296475838397E-2</v>
      </c>
      <c r="X1123">
        <v>7.7226011388495637E-3</v>
      </c>
      <c r="Y1123">
        <v>1.5333617218427945E-3</v>
      </c>
    </row>
    <row r="1124" spans="1:25" x14ac:dyDescent="0.25">
      <c r="A1124" s="1096"/>
      <c r="B1124" s="1455">
        <v>874</v>
      </c>
      <c r="C1124" s="1100">
        <v>1.005240101873873</v>
      </c>
      <c r="D1124" s="1100">
        <v>0.97065876548241192</v>
      </c>
      <c r="E1124" s="1100">
        <v>1.0242817334118794</v>
      </c>
      <c r="F1124" s="1100">
        <v>0.96797326299991626</v>
      </c>
      <c r="G1124" s="1100">
        <v>0.96017987557275841</v>
      </c>
      <c r="H1124" s="1100">
        <v>1.0169869569489625</v>
      </c>
      <c r="I1124" s="1100">
        <v>0.98571356030959889</v>
      </c>
      <c r="K1124">
        <v>1.2842295707683506</v>
      </c>
      <c r="L1124">
        <v>0</v>
      </c>
      <c r="M1124">
        <v>5.8505031279694572E-4</v>
      </c>
      <c r="N1124">
        <v>5.7891681485883355E-2</v>
      </c>
      <c r="O1124">
        <v>7.8200254434636369E-3</v>
      </c>
      <c r="P1124">
        <v>1.6041823143467783E-2</v>
      </c>
      <c r="Q1124">
        <v>4.6387171745197481E-4</v>
      </c>
      <c r="R1124">
        <v>5.8335276640769922E-4</v>
      </c>
      <c r="S1124">
        <v>6.0889502031795335E-2</v>
      </c>
      <c r="T1124">
        <v>0.99862395439528318</v>
      </c>
      <c r="U1124">
        <v>0</v>
      </c>
      <c r="V1124">
        <v>9.5690597856684712E-2</v>
      </c>
      <c r="W1124">
        <v>3.749113341720569E-2</v>
      </c>
      <c r="X1124">
        <v>7.7309848955321326E-3</v>
      </c>
      <c r="Y1124">
        <v>1.5876939279739939E-3</v>
      </c>
    </row>
    <row r="1125" spans="1:25" x14ac:dyDescent="0.25">
      <c r="A1125" s="1096"/>
      <c r="B1125" s="1455">
        <v>875</v>
      </c>
      <c r="C1125" s="1100">
        <v>0.99543638825998049</v>
      </c>
      <c r="D1125" s="1100">
        <v>1.0116955236789771</v>
      </c>
      <c r="E1125" s="1100">
        <v>0.99404764005492152</v>
      </c>
      <c r="F1125" s="1100">
        <v>0.98079419967273374</v>
      </c>
      <c r="G1125" s="1100">
        <v>1.006098144683067</v>
      </c>
      <c r="H1125" s="1100">
        <v>0.98775128288350511</v>
      </c>
      <c r="I1125" s="1100">
        <v>0.97664343748278759</v>
      </c>
      <c r="K1125">
        <v>1.2926253586070247</v>
      </c>
      <c r="L1125">
        <v>0</v>
      </c>
      <c r="M1125">
        <v>6.0098470293467557E-4</v>
      </c>
      <c r="N1125">
        <v>5.4275715750788815E-2</v>
      </c>
      <c r="O1125">
        <v>7.7598877604806212E-3</v>
      </c>
      <c r="P1125">
        <v>1.5881462940089054E-2</v>
      </c>
      <c r="Q1125">
        <v>4.4659425163766017E-4</v>
      </c>
      <c r="R1125">
        <v>5.9918930949544617E-4</v>
      </c>
      <c r="S1125">
        <v>5.8686673119824583E-2</v>
      </c>
      <c r="T1125">
        <v>1.0127254239494747</v>
      </c>
      <c r="U1125">
        <v>0</v>
      </c>
      <c r="V1125">
        <v>9.8121266525551407E-2</v>
      </c>
      <c r="W1125">
        <v>3.5782117375189909E-2</v>
      </c>
      <c r="X1125">
        <v>7.3172165496836741E-3</v>
      </c>
      <c r="Y1125">
        <v>1.6307957777438147E-3</v>
      </c>
    </row>
    <row r="1126" spans="1:25" x14ac:dyDescent="0.25">
      <c r="A1126" s="1096"/>
      <c r="B1126" s="1455">
        <v>876</v>
      </c>
      <c r="C1126" s="1100">
        <v>0.97927575378785547</v>
      </c>
      <c r="D1126" s="1100">
        <v>1.0144175186778019</v>
      </c>
      <c r="E1126" s="1100">
        <v>1.0015084321406649</v>
      </c>
      <c r="F1126" s="1100">
        <v>1.0056147011290801</v>
      </c>
      <c r="G1126" s="1100">
        <v>0.98682985505808829</v>
      </c>
      <c r="H1126" s="1100">
        <v>1.0001231502489518</v>
      </c>
      <c r="I1126" s="1100">
        <v>1.0096797304911687</v>
      </c>
      <c r="K1126">
        <v>1.3247423677532983</v>
      </c>
      <c r="L1126">
        <v>0</v>
      </c>
      <c r="M1126">
        <v>6.0840424763405974E-4</v>
      </c>
      <c r="N1126">
        <v>5.6200652594479997E-2</v>
      </c>
      <c r="O1126">
        <v>7.8813321156093359E-3</v>
      </c>
      <c r="P1126">
        <v>1.6355141811291895E-2</v>
      </c>
      <c r="Q1126">
        <v>4.5700220214674848E-4</v>
      </c>
      <c r="R1126">
        <v>6.066091727287583E-4</v>
      </c>
      <c r="S1126">
        <v>6.1978883434376075E-2</v>
      </c>
      <c r="T1126">
        <v>1.0381301789356296</v>
      </c>
      <c r="U1126">
        <v>0</v>
      </c>
      <c r="V1126">
        <v>9.7608331751589728E-2</v>
      </c>
      <c r="W1126">
        <v>3.6886942924340249E-2</v>
      </c>
      <c r="X1126">
        <v>7.5947068592324913E-3</v>
      </c>
      <c r="Y1126">
        <v>1.6509901995076328E-3</v>
      </c>
    </row>
    <row r="1127" spans="1:25" x14ac:dyDescent="0.25">
      <c r="A1127" s="1096"/>
      <c r="B1127" s="1455">
        <v>877</v>
      </c>
      <c r="C1127" s="1100">
        <v>1.0040605554123194</v>
      </c>
      <c r="D1127" s="1100">
        <v>0.99815526557305823</v>
      </c>
      <c r="E1127" s="1100">
        <v>0.99916482332368239</v>
      </c>
      <c r="F1127" s="1100">
        <v>0.98726560688676679</v>
      </c>
      <c r="G1127" s="1100">
        <v>1.0124771930653043</v>
      </c>
      <c r="H1127" s="1100">
        <v>0.99517760267301625</v>
      </c>
      <c r="I1127" s="1100">
        <v>0.95912567210972532</v>
      </c>
      <c r="K1127">
        <v>1.2992668091451298</v>
      </c>
      <c r="L1127">
        <v>0</v>
      </c>
      <c r="M1127">
        <v>5.9717727803243828E-4</v>
      </c>
      <c r="N1127">
        <v>5.4773569347106602E-2</v>
      </c>
      <c r="O1127">
        <v>7.7360628548055624E-3</v>
      </c>
      <c r="P1127">
        <v>1.6020361726786191E-2</v>
      </c>
      <c r="Q1127">
        <v>4.4752340796240942E-4</v>
      </c>
      <c r="R1127">
        <v>5.9540657186487635E-4</v>
      </c>
      <c r="S1127">
        <v>5.7775481001199856E-2</v>
      </c>
      <c r="T1127">
        <v>1.0192566325202888</v>
      </c>
      <c r="U1127">
        <v>0</v>
      </c>
      <c r="V1127">
        <v>9.8221744423138274E-2</v>
      </c>
      <c r="W1127">
        <v>3.6000383045858127E-2</v>
      </c>
      <c r="X1127">
        <v>7.4163211112574191E-3</v>
      </c>
      <c r="Y1127">
        <v>1.6205004128925281E-3</v>
      </c>
    </row>
    <row r="1128" spans="1:25" x14ac:dyDescent="0.25">
      <c r="A1128" s="1096"/>
      <c r="B1128" s="1455">
        <v>878</v>
      </c>
      <c r="C1128" s="1100">
        <v>1.0190863085852835</v>
      </c>
      <c r="D1128" s="1100">
        <v>0.99260069924587913</v>
      </c>
      <c r="E1128" s="1100">
        <v>1.0190256543123151</v>
      </c>
      <c r="F1128" s="1100">
        <v>0.99671765170968263</v>
      </c>
      <c r="G1128" s="1100">
        <v>1.0434714827127931</v>
      </c>
      <c r="H1128" s="1100">
        <v>1.0011990178712098</v>
      </c>
      <c r="I1128" s="1100">
        <v>0.97159986572107027</v>
      </c>
      <c r="K1128">
        <v>1.3110830294683171</v>
      </c>
      <c r="L1128">
        <v>0</v>
      </c>
      <c r="M1128">
        <v>5.6927822250663713E-4</v>
      </c>
      <c r="N1128">
        <v>5.5442404077681154E-2</v>
      </c>
      <c r="O1128">
        <v>7.643837164093452E-3</v>
      </c>
      <c r="P1128">
        <v>1.6404031301317932E-2</v>
      </c>
      <c r="Q1128">
        <v>4.5105956748784997E-4</v>
      </c>
      <c r="R1128">
        <v>5.6760039243554904E-4</v>
      </c>
      <c r="S1128">
        <v>5.8031376189115552E-2</v>
      </c>
      <c r="T1128">
        <v>1.0284310939054166</v>
      </c>
      <c r="U1128">
        <v>0</v>
      </c>
      <c r="V1128">
        <v>9.9379591535423847E-2</v>
      </c>
      <c r="W1128">
        <v>3.6015398000520921E-2</v>
      </c>
      <c r="X1128">
        <v>7.7410943985415526E-3</v>
      </c>
      <c r="Y1128">
        <v>1.5448211587904851E-3</v>
      </c>
    </row>
    <row r="1129" spans="1:25" x14ac:dyDescent="0.25">
      <c r="A1129" s="1096"/>
      <c r="B1129" s="1455">
        <v>879</v>
      </c>
      <c r="C1129" s="1100">
        <v>0.99765318255695312</v>
      </c>
      <c r="D1129" s="1100">
        <v>0.99629278135843946</v>
      </c>
      <c r="E1129" s="1100">
        <v>1.0095533033744808</v>
      </c>
      <c r="F1129" s="1100">
        <v>1.0002331160901488</v>
      </c>
      <c r="G1129" s="1100">
        <v>1.012307547255723</v>
      </c>
      <c r="H1129" s="1100">
        <v>0.97941690939309756</v>
      </c>
      <c r="I1129" s="1100">
        <v>0.98550176465621153</v>
      </c>
      <c r="K1129">
        <v>1.3145145289955291</v>
      </c>
      <c r="L1129">
        <v>0</v>
      </c>
      <c r="M1129">
        <v>5.7930886028867228E-4</v>
      </c>
      <c r="N1129">
        <v>5.4825611937267794E-2</v>
      </c>
      <c r="O1129">
        <v>7.7941275953004839E-3</v>
      </c>
      <c r="P1129">
        <v>1.6347906682577094E-2</v>
      </c>
      <c r="Q1129">
        <v>4.5560385689241874E-4</v>
      </c>
      <c r="R1129">
        <v>5.7756349477120698E-4</v>
      </c>
      <c r="S1129">
        <v>5.9339354250775592E-2</v>
      </c>
      <c r="T1129">
        <v>1.0323363988345016</v>
      </c>
      <c r="U1129">
        <v>0</v>
      </c>
      <c r="V1129">
        <v>9.8383721988858336E-2</v>
      </c>
      <c r="W1129">
        <v>3.5813542558043684E-2</v>
      </c>
      <c r="X1129">
        <v>7.648069217817007E-3</v>
      </c>
      <c r="Y1129">
        <v>1.5719374390123437E-3</v>
      </c>
    </row>
    <row r="1130" spans="1:25" x14ac:dyDescent="0.25">
      <c r="A1130" s="1096"/>
      <c r="B1130" s="1455">
        <v>880</v>
      </c>
      <c r="C1130" s="1100">
        <v>0.97143332226195933</v>
      </c>
      <c r="D1130" s="1100">
        <v>1.0271555127164629</v>
      </c>
      <c r="E1130" s="1100">
        <v>0.98686442895216686</v>
      </c>
      <c r="F1130" s="1100">
        <v>1.0267328821406505</v>
      </c>
      <c r="G1130" s="1100">
        <v>1.010100796791128</v>
      </c>
      <c r="H1130" s="1100">
        <v>0.99189091957340292</v>
      </c>
      <c r="I1130" s="1100">
        <v>0.99367952279333605</v>
      </c>
      <c r="K1130">
        <v>1.3457585604030526</v>
      </c>
      <c r="L1130">
        <v>0</v>
      </c>
      <c r="M1130">
        <v>6.2388869577098647E-4</v>
      </c>
      <c r="N1130">
        <v>5.5134444883654404E-2</v>
      </c>
      <c r="O1130">
        <v>7.9017423778776196E-3</v>
      </c>
      <c r="P1130">
        <v>1.6478967279757926E-2</v>
      </c>
      <c r="Q1130">
        <v>4.5146920975952856E-4</v>
      </c>
      <c r="R1130">
        <v>6.2203265709992266E-4</v>
      </c>
      <c r="S1130">
        <v>6.0810698188757943E-2</v>
      </c>
      <c r="T1130">
        <v>1.0603813341879733</v>
      </c>
      <c r="U1130">
        <v>0</v>
      </c>
      <c r="V1130">
        <v>9.8921909705241173E-2</v>
      </c>
      <c r="W1130">
        <v>3.6504941728601893E-2</v>
      </c>
      <c r="X1130">
        <v>7.4819410404828477E-3</v>
      </c>
      <c r="Y1130">
        <v>1.6929678396156854E-3</v>
      </c>
    </row>
    <row r="1131" spans="1:25" x14ac:dyDescent="0.25">
      <c r="A1131" s="1096"/>
      <c r="B1131" s="1455">
        <v>881</v>
      </c>
      <c r="C1131" s="1100">
        <v>1.02922241355907</v>
      </c>
      <c r="D1131" s="1100">
        <v>1.0340716604809435</v>
      </c>
      <c r="E1131" s="1100">
        <v>1.0352223702310686</v>
      </c>
      <c r="F1131" s="1100">
        <v>1.0088136045065712</v>
      </c>
      <c r="G1131" s="1100">
        <v>0.99750800792419558</v>
      </c>
      <c r="H1131" s="1100">
        <v>1.0368393213050255</v>
      </c>
      <c r="I1131" s="1100">
        <v>0.98809527673348674</v>
      </c>
      <c r="K1131">
        <v>1.3230490542484419</v>
      </c>
      <c r="L1131">
        <v>0</v>
      </c>
      <c r="M1131">
        <v>5.5520787920300234E-4</v>
      </c>
      <c r="N1131">
        <v>5.6784086560818389E-2</v>
      </c>
      <c r="O1131">
        <v>7.4494792170064252E-3</v>
      </c>
      <c r="P1131">
        <v>1.6735062266012686E-2</v>
      </c>
      <c r="Q1131">
        <v>4.4669802435678019E-4</v>
      </c>
      <c r="R1131">
        <v>5.5362776680749923E-4</v>
      </c>
      <c r="S1131">
        <v>5.821408857734487E-2</v>
      </c>
      <c r="T1131">
        <v>1.0404387177465475</v>
      </c>
      <c r="U1131">
        <v>0</v>
      </c>
      <c r="V1131">
        <v>9.6934237875605386E-2</v>
      </c>
      <c r="W1131">
        <v>3.6540997357777001E-2</v>
      </c>
      <c r="X1131">
        <v>8.0004744574633021E-3</v>
      </c>
      <c r="Y1131">
        <v>1.5067922779057337E-3</v>
      </c>
    </row>
    <row r="1132" spans="1:25" x14ac:dyDescent="0.25">
      <c r="A1132" s="1096"/>
      <c r="B1132" s="1455">
        <v>882</v>
      </c>
      <c r="C1132" s="1100">
        <v>1.0283973629327472</v>
      </c>
      <c r="D1132" s="1100">
        <v>0.9974646917991985</v>
      </c>
      <c r="E1132" s="1100">
        <v>0.98139754401644141</v>
      </c>
      <c r="F1132" s="1100">
        <v>1.0159291986854462</v>
      </c>
      <c r="G1132" s="1100">
        <v>1.0008909129327193</v>
      </c>
      <c r="H1132" s="1100">
        <v>0.99742567062387932</v>
      </c>
      <c r="I1132" s="1100">
        <v>1.045267559209293</v>
      </c>
      <c r="K1132">
        <v>1.328870423301679</v>
      </c>
      <c r="L1132">
        <v>0</v>
      </c>
      <c r="M1132">
        <v>6.064344958398003E-4</v>
      </c>
      <c r="N1132">
        <v>5.271394543102325E-2</v>
      </c>
      <c r="O1132">
        <v>7.5508430462357034E-3</v>
      </c>
      <c r="P1132">
        <v>1.6247974982061309E-2</v>
      </c>
      <c r="Q1132">
        <v>4.2903535222771539E-4</v>
      </c>
      <c r="R1132">
        <v>6.0464039365833925E-4</v>
      </c>
      <c r="S1132">
        <v>6.1549494127023936E-2</v>
      </c>
      <c r="T1132">
        <v>1.0493915353158034</v>
      </c>
      <c r="U1132">
        <v>0</v>
      </c>
      <c r="V1132">
        <v>9.7057580312135433E-2</v>
      </c>
      <c r="W1132">
        <v>3.5017336779518078E-2</v>
      </c>
      <c r="X1132">
        <v>7.2688402259451761E-3</v>
      </c>
      <c r="Y1132">
        <v>1.6456318318857984E-3</v>
      </c>
    </row>
    <row r="1133" spans="1:25" x14ac:dyDescent="0.25">
      <c r="A1133" s="1096"/>
      <c r="B1133" s="1455">
        <v>883</v>
      </c>
      <c r="C1133" s="1100">
        <v>1.0147257599340547</v>
      </c>
      <c r="D1133" s="1100">
        <v>0.99919527708135136</v>
      </c>
      <c r="E1133" s="1100">
        <v>0.9962268241978397</v>
      </c>
      <c r="F1133" s="1100">
        <v>0.99963629535798171</v>
      </c>
      <c r="G1133" s="1100">
        <v>0.99495981756241902</v>
      </c>
      <c r="H1133" s="1100">
        <v>1.0377557389005954</v>
      </c>
      <c r="I1133" s="1100">
        <v>1.0152222639702504</v>
      </c>
      <c r="K1133">
        <v>1.3178563063050854</v>
      </c>
      <c r="L1133">
        <v>0</v>
      </c>
      <c r="M1133">
        <v>6.1968918266891101E-4</v>
      </c>
      <c r="N1133">
        <v>5.634288471452286E-2</v>
      </c>
      <c r="O1133">
        <v>7.6508548201309158E-3</v>
      </c>
      <c r="P1133">
        <v>1.6199441904639234E-2</v>
      </c>
      <c r="Q1133">
        <v>4.412873976210858E-4</v>
      </c>
      <c r="R1133">
        <v>6.1792711497126232E-4</v>
      </c>
      <c r="S1133">
        <v>6.1776277549865033E-2</v>
      </c>
      <c r="T1133">
        <v>1.0321157963841643</v>
      </c>
      <c r="U1133">
        <v>0</v>
      </c>
      <c r="V1133">
        <v>9.7111637650637905E-2</v>
      </c>
      <c r="W1133">
        <v>3.7096667529210578E-2</v>
      </c>
      <c r="X1133">
        <v>7.4414265146565553E-3</v>
      </c>
      <c r="Y1133">
        <v>1.6817939073330713E-3</v>
      </c>
    </row>
    <row r="1134" spans="1:25" x14ac:dyDescent="0.25">
      <c r="A1134" s="1096"/>
      <c r="B1134" s="1455">
        <v>884</v>
      </c>
      <c r="C1134" s="1100">
        <v>0.98805417698739806</v>
      </c>
      <c r="D1134" s="1100">
        <v>0.99687036638632465</v>
      </c>
      <c r="E1134" s="1100">
        <v>0.96861083116132363</v>
      </c>
      <c r="F1134" s="1100">
        <v>1.0132065694007961</v>
      </c>
      <c r="G1134" s="1100">
        <v>1.0168936552249552</v>
      </c>
      <c r="H1134" s="1100">
        <v>0.97814830903905192</v>
      </c>
      <c r="I1134" s="1100">
        <v>1.0172032406822547</v>
      </c>
      <c r="K1134">
        <v>1.3295131711758894</v>
      </c>
      <c r="L1134">
        <v>0</v>
      </c>
      <c r="M1134">
        <v>6.3571932908358523E-4</v>
      </c>
      <c r="N1134">
        <v>5.3158580344206903E-2</v>
      </c>
      <c r="O1134">
        <v>7.8578571044016984E-3</v>
      </c>
      <c r="P1134">
        <v>1.6083819989416617E-2</v>
      </c>
      <c r="Q1134">
        <v>4.4069869412435966E-4</v>
      </c>
      <c r="R1134">
        <v>6.3380152373169335E-4</v>
      </c>
      <c r="S1134">
        <v>6.1743278760123053E-2</v>
      </c>
      <c r="T1134">
        <v>1.0469745376918373</v>
      </c>
      <c r="U1134">
        <v>0</v>
      </c>
      <c r="V1134">
        <v>9.8801069661681923E-2</v>
      </c>
      <c r="W1134">
        <v>3.5587497086316568E-2</v>
      </c>
      <c r="X1134">
        <v>7.1427508341485981E-3</v>
      </c>
      <c r="Y1134">
        <v>1.7249988149815236E-3</v>
      </c>
    </row>
    <row r="1135" spans="1:25" x14ac:dyDescent="0.25">
      <c r="A1135" s="1096"/>
      <c r="B1135" s="1455">
        <v>885</v>
      </c>
      <c r="C1135" s="1100">
        <v>1.0029115579118191</v>
      </c>
      <c r="D1135" s="1100">
        <v>1.0361017896810811</v>
      </c>
      <c r="E1135" s="1100">
        <v>0.97300630112119857</v>
      </c>
      <c r="F1135" s="1100">
        <v>1.0153661588810725</v>
      </c>
      <c r="G1135" s="1100">
        <v>1.0204200321095704</v>
      </c>
      <c r="H1135" s="1100">
        <v>1.0087861046036057</v>
      </c>
      <c r="I1135" s="1100">
        <v>1.0157432619925415</v>
      </c>
      <c r="K1135">
        <v>1.3302571508815186</v>
      </c>
      <c r="L1135">
        <v>0</v>
      </c>
      <c r="M1135">
        <v>6.3027633385424886E-4</v>
      </c>
      <c r="N1135">
        <v>5.3414423238864556E-2</v>
      </c>
      <c r="O1135">
        <v>7.6238947747983296E-3</v>
      </c>
      <c r="P1135">
        <v>1.6145913387813501E-2</v>
      </c>
      <c r="Q1135">
        <v>4.2950153700387094E-4</v>
      </c>
      <c r="R1135">
        <v>6.284326955312506E-4</v>
      </c>
      <c r="S1135">
        <v>6.0432253613852682E-2</v>
      </c>
      <c r="T1135">
        <v>1.049069361463302</v>
      </c>
      <c r="U1135">
        <v>0</v>
      </c>
      <c r="V1135">
        <v>9.8605107484092722E-2</v>
      </c>
      <c r="W1135">
        <v>3.5663299563201425E-2</v>
      </c>
      <c r="X1135">
        <v>7.1648528224586968E-3</v>
      </c>
      <c r="Y1135">
        <v>1.7103866344536582E-3</v>
      </c>
    </row>
    <row r="1136" spans="1:25" x14ac:dyDescent="0.25">
      <c r="A1136" s="1096"/>
      <c r="B1136" s="1455">
        <v>886</v>
      </c>
      <c r="C1136" s="1100">
        <v>1.0024502968266589</v>
      </c>
      <c r="D1136" s="1100">
        <v>1.0154295139222893</v>
      </c>
      <c r="E1136" s="1100">
        <v>1.0095749883890517</v>
      </c>
      <c r="F1136" s="1100">
        <v>1.0333693900318235</v>
      </c>
      <c r="G1136" s="1100">
        <v>1.0091433488158412</v>
      </c>
      <c r="H1136" s="1100">
        <v>0.99505561660684549</v>
      </c>
      <c r="I1136" s="1100">
        <v>1.0098967400986352</v>
      </c>
      <c r="K1136">
        <v>1.3503335840147765</v>
      </c>
      <c r="L1136">
        <v>0</v>
      </c>
      <c r="M1136">
        <v>5.8127546028622962E-4</v>
      </c>
      <c r="N1136">
        <v>5.5017944948213209E-2</v>
      </c>
      <c r="O1136">
        <v>7.6980270622568894E-3</v>
      </c>
      <c r="P1136">
        <v>1.6828498184915702E-2</v>
      </c>
      <c r="Q1136">
        <v>4.4999608019908807E-4</v>
      </c>
      <c r="R1136">
        <v>5.7955169372529149E-4</v>
      </c>
      <c r="S1136">
        <v>6.037964393835385E-2</v>
      </c>
      <c r="T1136">
        <v>1.0665355474026452</v>
      </c>
      <c r="U1136">
        <v>0</v>
      </c>
      <c r="V1136">
        <v>9.81117694950948E-2</v>
      </c>
      <c r="W1136">
        <v>3.5938719863429627E-2</v>
      </c>
      <c r="X1136">
        <v>7.7978121450706407E-3</v>
      </c>
      <c r="Y1136">
        <v>1.5773486611557524E-3</v>
      </c>
    </row>
    <row r="1137" spans="1:25" x14ac:dyDescent="0.25">
      <c r="A1137" s="1096"/>
      <c r="B1137" s="1455">
        <v>887</v>
      </c>
      <c r="C1137" s="1100">
        <v>1.0170345345174587</v>
      </c>
      <c r="D1137" s="1100">
        <v>0.99917301051536267</v>
      </c>
      <c r="E1137" s="1100">
        <v>0.97233740252339362</v>
      </c>
      <c r="F1137" s="1100">
        <v>1.0062616647244718</v>
      </c>
      <c r="G1137" s="1100">
        <v>0.98686793266837158</v>
      </c>
      <c r="H1137" s="1100">
        <v>1.0440605424530724</v>
      </c>
      <c r="I1137" s="1100">
        <v>0.98144737589198894</v>
      </c>
      <c r="K1137">
        <v>1.3211873488798842</v>
      </c>
      <c r="L1137">
        <v>0</v>
      </c>
      <c r="M1137">
        <v>6.5356562667300228E-4</v>
      </c>
      <c r="N1137">
        <v>5.5281569567020218E-2</v>
      </c>
      <c r="O1137">
        <v>7.6278012255796418E-3</v>
      </c>
      <c r="P1137">
        <v>1.5976875619060967E-2</v>
      </c>
      <c r="Q1137">
        <v>4.2942836336620088E-4</v>
      </c>
      <c r="R1137">
        <v>6.5171845466636339E-4</v>
      </c>
      <c r="S1137">
        <v>5.9749073753016496E-2</v>
      </c>
      <c r="T1137">
        <v>1.039683245185314</v>
      </c>
      <c r="U1137">
        <v>0</v>
      </c>
      <c r="V1137">
        <v>9.6638519245556415E-2</v>
      </c>
      <c r="W1137">
        <v>3.6924938107545775E-2</v>
      </c>
      <c r="X1137">
        <v>7.1039821907601663E-3</v>
      </c>
      <c r="Y1137">
        <v>1.7737627946709999E-3</v>
      </c>
    </row>
    <row r="1138" spans="1:25" x14ac:dyDescent="0.25">
      <c r="A1138" s="1096"/>
      <c r="B1138" s="1455">
        <v>888</v>
      </c>
      <c r="C1138" s="1100">
        <v>1.0178631591101803</v>
      </c>
      <c r="D1138" s="1100">
        <v>1.0208317618679204</v>
      </c>
      <c r="E1138" s="1100">
        <v>0.98449020128914433</v>
      </c>
      <c r="F1138" s="1100">
        <v>1.0260000596021455</v>
      </c>
      <c r="G1138" s="1100">
        <v>1.0188632506846966</v>
      </c>
      <c r="H1138" s="1100">
        <v>1.0131846264585347</v>
      </c>
      <c r="I1138" s="1100">
        <v>1.0344322020055123</v>
      </c>
      <c r="K1138">
        <v>1.3420181211508146</v>
      </c>
      <c r="L1138">
        <v>0</v>
      </c>
      <c r="M1138">
        <v>6.1272027846647999E-4</v>
      </c>
      <c r="N1138">
        <v>5.3763418988013664E-2</v>
      </c>
      <c r="O1138">
        <v>7.5593895925923785E-3</v>
      </c>
      <c r="P1138">
        <v>1.6436400210410949E-2</v>
      </c>
      <c r="Q1138">
        <v>4.308710150230891E-4</v>
      </c>
      <c r="R1138">
        <v>6.1093577465111762E-4</v>
      </c>
      <c r="S1138">
        <v>6.1270299484500627E-2</v>
      </c>
      <c r="T1138">
        <v>1.0596980436263099</v>
      </c>
      <c r="U1138">
        <v>0</v>
      </c>
      <c r="V1138">
        <v>9.817967277711391E-2</v>
      </c>
      <c r="W1138">
        <v>3.5648014782102423E-2</v>
      </c>
      <c r="X1138">
        <v>7.3710293948862924E-3</v>
      </c>
      <c r="Y1138">
        <v>1.6627657836763541E-3</v>
      </c>
    </row>
    <row r="1139" spans="1:25" x14ac:dyDescent="0.25">
      <c r="A1139" s="1096"/>
      <c r="B1139" s="1455">
        <v>889</v>
      </c>
      <c r="C1139" s="1100">
        <v>1.0003941189473728</v>
      </c>
      <c r="D1139" s="1100">
        <v>0.99490857477313688</v>
      </c>
      <c r="E1139" s="1100">
        <v>1.007346196294838</v>
      </c>
      <c r="F1139" s="1100">
        <v>1.0258394265974755</v>
      </c>
      <c r="G1139" s="1100">
        <v>1.0046954214585131</v>
      </c>
      <c r="H1139" s="1100">
        <v>0.97200530969488041</v>
      </c>
      <c r="I1139" s="1100">
        <v>1.0172693343660408</v>
      </c>
      <c r="K1139">
        <v>1.341518653025163</v>
      </c>
      <c r="L1139">
        <v>0</v>
      </c>
      <c r="M1139">
        <v>5.7630459736857553E-4</v>
      </c>
      <c r="N1139">
        <v>5.4177785677751805E-2</v>
      </c>
      <c r="O1139">
        <v>7.7765532785159554E-3</v>
      </c>
      <c r="P1139">
        <v>1.6699909849584721E-2</v>
      </c>
      <c r="Q1139">
        <v>4.5357386635477582E-4</v>
      </c>
      <c r="R1139">
        <v>5.7455504371660285E-4</v>
      </c>
      <c r="S1139">
        <v>6.0897222605376139E-2</v>
      </c>
      <c r="T1139">
        <v>1.0588313872863298</v>
      </c>
      <c r="U1139">
        <v>0</v>
      </c>
      <c r="V1139">
        <v>9.7944901723455977E-2</v>
      </c>
      <c r="W1139">
        <v>3.5436511440389701E-2</v>
      </c>
      <c r="X1139">
        <v>7.7388074240790101E-3</v>
      </c>
      <c r="Y1139">
        <v>1.5637494269773349E-3</v>
      </c>
    </row>
    <row r="1140" spans="1:25" x14ac:dyDescent="0.25">
      <c r="A1140" s="1096"/>
      <c r="B1140" s="1455">
        <v>890</v>
      </c>
      <c r="C1140" s="1100">
        <v>1.0051337060415872</v>
      </c>
      <c r="D1140" s="1100">
        <v>1.0357588085055134</v>
      </c>
      <c r="E1140" s="1100">
        <v>0.99448866013505932</v>
      </c>
      <c r="F1140" s="1100">
        <v>0.96515855391485184</v>
      </c>
      <c r="G1140" s="1100">
        <v>0.99483303745411511</v>
      </c>
      <c r="H1140" s="1100">
        <v>1.0078368771829354</v>
      </c>
      <c r="I1140" s="1100">
        <v>0.99473220734620504</v>
      </c>
      <c r="K1140">
        <v>1.2757033927728714</v>
      </c>
      <c r="L1140">
        <v>0</v>
      </c>
      <c r="M1140">
        <v>6.0105646252697428E-4</v>
      </c>
      <c r="N1140">
        <v>5.4357847499410139E-2</v>
      </c>
      <c r="O1140">
        <v>7.6132071242490775E-3</v>
      </c>
      <c r="P1140">
        <v>1.5661581646165622E-2</v>
      </c>
      <c r="Q1140">
        <v>4.3834743659907233E-4</v>
      </c>
      <c r="R1140">
        <v>5.9929664011601675E-4</v>
      </c>
      <c r="S1140">
        <v>5.9053937200449082E-2</v>
      </c>
      <c r="T1140">
        <v>0.99656799392356943</v>
      </c>
      <c r="U1140">
        <v>0</v>
      </c>
      <c r="V1140">
        <v>9.7336633390480196E-2</v>
      </c>
      <c r="W1140">
        <v>3.5826829297302E-2</v>
      </c>
      <c r="X1140">
        <v>7.2176871807466932E-3</v>
      </c>
      <c r="Y1140">
        <v>1.6310878963114786E-3</v>
      </c>
    </row>
    <row r="1141" spans="1:25" x14ac:dyDescent="0.25">
      <c r="A1141" s="1096"/>
      <c r="B1141" s="1455">
        <v>891</v>
      </c>
      <c r="C1141" s="1100">
        <v>0.98965424226852594</v>
      </c>
      <c r="D1141" s="1100">
        <v>1.0266197412643654</v>
      </c>
      <c r="E1141" s="1100">
        <v>0.97978885674812843</v>
      </c>
      <c r="F1141" s="1100">
        <v>1.0024755462153394</v>
      </c>
      <c r="G1141" s="1100">
        <v>1.0186454930959681</v>
      </c>
      <c r="H1141" s="1100">
        <v>1.0027993220431544</v>
      </c>
      <c r="I1141" s="1100">
        <v>0.9996399136791575</v>
      </c>
      <c r="K1141">
        <v>1.3184766132726593</v>
      </c>
      <c r="L1141">
        <v>0</v>
      </c>
      <c r="M1141">
        <v>6.283980113311107E-4</v>
      </c>
      <c r="N1141">
        <v>5.4358763044488757E-2</v>
      </c>
      <c r="O1141">
        <v>7.7561470654096592E-3</v>
      </c>
      <c r="P1141">
        <v>1.6050760522037005E-2</v>
      </c>
      <c r="Q1141">
        <v>4.3998088143485601E-4</v>
      </c>
      <c r="R1141">
        <v>6.2654889349099169E-4</v>
      </c>
      <c r="S1141">
        <v>6.0391921584564884E-2</v>
      </c>
      <c r="T1141">
        <v>1.0355436873721549</v>
      </c>
      <c r="U1141">
        <v>0</v>
      </c>
      <c r="V1141">
        <v>9.8857720693825341E-2</v>
      </c>
      <c r="W1141">
        <v>3.6145048788958238E-2</v>
      </c>
      <c r="X1141">
        <v>7.2291728913288257E-3</v>
      </c>
      <c r="Y1141">
        <v>1.7052595462952495E-3</v>
      </c>
    </row>
    <row r="1142" spans="1:25" x14ac:dyDescent="0.25">
      <c r="A1142" s="1096"/>
      <c r="B1142" s="1455">
        <v>892</v>
      </c>
      <c r="C1142" s="1100">
        <v>0.98202807592433194</v>
      </c>
      <c r="D1142" s="1100">
        <v>1.0454555130890315</v>
      </c>
      <c r="E1142" s="1100">
        <v>1.0003461045160271</v>
      </c>
      <c r="F1142" s="1100">
        <v>0.98770715879772109</v>
      </c>
      <c r="G1142" s="1100">
        <v>0.98815916856394648</v>
      </c>
      <c r="H1142" s="1100">
        <v>1.0093311703895322</v>
      </c>
      <c r="I1142" s="1100">
        <v>1.0099090080022797</v>
      </c>
      <c r="K1142">
        <v>1.3042720877708864</v>
      </c>
      <c r="L1142">
        <v>0</v>
      </c>
      <c r="M1142">
        <v>6.0640846973797509E-4</v>
      </c>
      <c r="N1142">
        <v>5.5821450964464378E-2</v>
      </c>
      <c r="O1142">
        <v>7.7647813992150058E-3</v>
      </c>
      <c r="P1142">
        <v>1.6077306339118635E-2</v>
      </c>
      <c r="Q1142">
        <v>4.4971849742005279E-4</v>
      </c>
      <c r="R1142">
        <v>6.0463560585992339E-4</v>
      </c>
      <c r="S1142">
        <v>6.1112478064029821E-2</v>
      </c>
      <c r="T1142">
        <v>1.0196777551170761</v>
      </c>
      <c r="U1142">
        <v>0</v>
      </c>
      <c r="V1142">
        <v>9.7600408351928097E-2</v>
      </c>
      <c r="W1142">
        <v>3.6663356988965681E-2</v>
      </c>
      <c r="X1142">
        <v>7.4609861114709637E-3</v>
      </c>
      <c r="Y1142">
        <v>1.6456188010768075E-3</v>
      </c>
    </row>
    <row r="1143" spans="1:25" x14ac:dyDescent="0.25">
      <c r="A1143" s="1096"/>
      <c r="B1143" s="1455">
        <v>893</v>
      </c>
      <c r="C1143" s="1100">
        <v>0.99571779688545814</v>
      </c>
      <c r="D1143" s="1100">
        <v>0.97487894339551284</v>
      </c>
      <c r="E1143" s="1100">
        <v>1.0034733230770203</v>
      </c>
      <c r="F1143" s="1100">
        <v>1.0351232191253525</v>
      </c>
      <c r="G1143" s="1100">
        <v>1.0166973417308081</v>
      </c>
      <c r="H1143" s="1100">
        <v>1.0001789644505665</v>
      </c>
      <c r="I1143" s="1100">
        <v>0.99472425017647492</v>
      </c>
      <c r="K1143">
        <v>1.3562182928852882</v>
      </c>
      <c r="L1143">
        <v>0</v>
      </c>
      <c r="M1143">
        <v>6.0550934716279293E-4</v>
      </c>
      <c r="N1143">
        <v>5.6266214920579934E-2</v>
      </c>
      <c r="O1143">
        <v>7.8759287221305836E-3</v>
      </c>
      <c r="P1143">
        <v>1.6800296383217419E-2</v>
      </c>
      <c r="Q1143">
        <v>4.5759052230942305E-4</v>
      </c>
      <c r="R1143">
        <v>6.0372291325357823E-4</v>
      </c>
      <c r="S1143">
        <v>6.1350857302173295E-2</v>
      </c>
      <c r="T1143">
        <v>1.0685324349214014</v>
      </c>
      <c r="U1143">
        <v>0</v>
      </c>
      <c r="V1143">
        <v>9.8637546022015479E-2</v>
      </c>
      <c r="W1143">
        <v>3.6886956424452055E-2</v>
      </c>
      <c r="X1143">
        <v>7.7691193482471999E-3</v>
      </c>
      <c r="Y1143">
        <v>1.6431347526713728E-3</v>
      </c>
    </row>
    <row r="1144" spans="1:25" x14ac:dyDescent="0.25">
      <c r="A1144" s="1096"/>
      <c r="B1144" s="1455">
        <v>894</v>
      </c>
      <c r="C1144" s="1100">
        <v>1.0007759497655868</v>
      </c>
      <c r="D1144" s="1100">
        <v>0.99976922479691221</v>
      </c>
      <c r="E1144" s="1100">
        <v>0.96510255141183454</v>
      </c>
      <c r="F1144" s="1100">
        <v>0.99790118596062005</v>
      </c>
      <c r="G1144" s="1100">
        <v>1.0120954386545846</v>
      </c>
      <c r="H1144" s="1100">
        <v>0.99312181512813902</v>
      </c>
      <c r="I1144" s="1100">
        <v>0.98370169628927562</v>
      </c>
      <c r="K1144">
        <v>1.3101495164713952</v>
      </c>
      <c r="L1144">
        <v>0</v>
      </c>
      <c r="M1144">
        <v>6.4113068347420427E-4</v>
      </c>
      <c r="N1144">
        <v>5.3046886073346788E-2</v>
      </c>
      <c r="O1144">
        <v>7.7481071770074284E-3</v>
      </c>
      <c r="P1144">
        <v>1.5792066666615368E-2</v>
      </c>
      <c r="Q1144">
        <v>4.3298540592889709E-4</v>
      </c>
      <c r="R1144">
        <v>6.3922571471165368E-4</v>
      </c>
      <c r="S1144">
        <v>5.9304629328611351E-2</v>
      </c>
      <c r="T1144">
        <v>1.0312667378830978</v>
      </c>
      <c r="U1144">
        <v>0</v>
      </c>
      <c r="V1144">
        <v>9.8246435269355573E-2</v>
      </c>
      <c r="W1144">
        <v>3.5588822122369738E-2</v>
      </c>
      <c r="X1144">
        <v>6.9849898390779534E-3</v>
      </c>
      <c r="Y1144">
        <v>1.7397616747448995E-3</v>
      </c>
    </row>
    <row r="1145" spans="1:25" x14ac:dyDescent="0.25">
      <c r="A1145" s="1096"/>
      <c r="B1145" s="1455">
        <v>895</v>
      </c>
      <c r="C1145" s="1100">
        <v>0.99827403915597046</v>
      </c>
      <c r="D1145" s="1100">
        <v>0.97584326187866888</v>
      </c>
      <c r="E1145" s="1100">
        <v>0.97432218822460004</v>
      </c>
      <c r="F1145" s="1100">
        <v>0.98938033263136582</v>
      </c>
      <c r="G1145" s="1100">
        <v>1.0446554644603288</v>
      </c>
      <c r="H1145" s="1100">
        <v>1.028212946416492</v>
      </c>
      <c r="I1145" s="1100">
        <v>0.98296905227312537</v>
      </c>
      <c r="K1145">
        <v>1.3098805259589279</v>
      </c>
      <c r="L1145">
        <v>0</v>
      </c>
      <c r="M1145">
        <v>6.5925931583610882E-4</v>
      </c>
      <c r="N1145">
        <v>5.6096763888454713E-2</v>
      </c>
      <c r="O1145">
        <v>7.8454291805308898E-3</v>
      </c>
      <c r="P1145">
        <v>1.5830808125293503E-2</v>
      </c>
      <c r="Q1145">
        <v>4.4257557468754545E-4</v>
      </c>
      <c r="R1145">
        <v>6.5736733372438185E-4</v>
      </c>
      <c r="S1145">
        <v>6.1260971722974338E-2</v>
      </c>
      <c r="T1145">
        <v>1.0221812066952789</v>
      </c>
      <c r="U1145">
        <v>0</v>
      </c>
      <c r="V1145">
        <v>9.9893552811870137E-2</v>
      </c>
      <c r="W1145">
        <v>3.7424324807006797E-2</v>
      </c>
      <c r="X1145">
        <v>7.1176479536269998E-3</v>
      </c>
      <c r="Y1145">
        <v>1.7891371813144451E-3</v>
      </c>
    </row>
    <row r="1146" spans="1:25" x14ac:dyDescent="0.25">
      <c r="A1146" s="1096"/>
      <c r="B1146" s="1455">
        <v>896</v>
      </c>
      <c r="C1146" s="1100">
        <v>1.0062136203927583</v>
      </c>
      <c r="D1146" s="1100">
        <v>0.98622399488177881</v>
      </c>
      <c r="E1146" s="1100">
        <v>0.98038508876635166</v>
      </c>
      <c r="F1146" s="1100">
        <v>1.0055865597445968</v>
      </c>
      <c r="G1146" s="1100">
        <v>1.0373237581348234</v>
      </c>
      <c r="H1146" s="1100">
        <v>0.9942387403577545</v>
      </c>
      <c r="I1146" s="1100">
        <v>0.98981274606677239</v>
      </c>
      <c r="K1146">
        <v>1.3208716015162671</v>
      </c>
      <c r="L1146">
        <v>0</v>
      </c>
      <c r="M1146">
        <v>6.2193203700014845E-4</v>
      </c>
      <c r="N1146">
        <v>5.3895203573307487E-2</v>
      </c>
      <c r="O1146">
        <v>7.7521313153598066E-3</v>
      </c>
      <c r="P1146">
        <v>1.6100107542117E-2</v>
      </c>
      <c r="Q1146">
        <v>4.40019643233309E-4</v>
      </c>
      <c r="R1146">
        <v>6.2008618844561854E-4</v>
      </c>
      <c r="S1146">
        <v>5.98353399461624E-2</v>
      </c>
      <c r="T1146">
        <v>1.0387391194699689</v>
      </c>
      <c r="U1146">
        <v>0</v>
      </c>
      <c r="V1146">
        <v>9.9349877967807435E-2</v>
      </c>
      <c r="W1146">
        <v>3.5823913116396787E-2</v>
      </c>
      <c r="X1146">
        <v>7.2500645968764368E-3</v>
      </c>
      <c r="Y1146">
        <v>1.6876701935918895E-3</v>
      </c>
    </row>
    <row r="1147" spans="1:25" x14ac:dyDescent="0.25">
      <c r="A1147" s="1096"/>
      <c r="B1147" s="1455">
        <v>897</v>
      </c>
      <c r="C1147" s="1100">
        <v>0.99436888058781037</v>
      </c>
      <c r="D1147" s="1100">
        <v>1.0392152920826359</v>
      </c>
      <c r="E1147" s="1100">
        <v>1.012802477524023</v>
      </c>
      <c r="F1147" s="1100">
        <v>0.98935686361560826</v>
      </c>
      <c r="G1147" s="1100">
        <v>1.0162185818596823</v>
      </c>
      <c r="H1147" s="1100">
        <v>0.96703490337968157</v>
      </c>
      <c r="I1147" s="1100">
        <v>0.99595623661235699</v>
      </c>
      <c r="K1147">
        <v>1.3000995193881184</v>
      </c>
      <c r="L1147">
        <v>0</v>
      </c>
      <c r="M1147">
        <v>5.6047633585438615E-4</v>
      </c>
      <c r="N1147">
        <v>5.3564064948632764E-2</v>
      </c>
      <c r="O1147">
        <v>7.6898319500068001E-3</v>
      </c>
      <c r="P1147">
        <v>1.6222842893501215E-2</v>
      </c>
      <c r="Q1147">
        <v>4.5096870192092204E-4</v>
      </c>
      <c r="R1147">
        <v>5.5876608841182597E-4</v>
      </c>
      <c r="S1147">
        <v>5.8448860252408155E-2</v>
      </c>
      <c r="T1147">
        <v>1.0210164505797072</v>
      </c>
      <c r="U1147">
        <v>0</v>
      </c>
      <c r="V1147">
        <v>9.8658664654111911E-2</v>
      </c>
      <c r="W1147">
        <v>3.492255442018919E-2</v>
      </c>
      <c r="X1147">
        <v>7.6062141396159282E-3</v>
      </c>
      <c r="Y1147">
        <v>1.5207770954654492E-3</v>
      </c>
    </row>
    <row r="1148" spans="1:25" x14ac:dyDescent="0.25">
      <c r="A1148" s="1096"/>
      <c r="B1148" s="1455">
        <v>898</v>
      </c>
      <c r="C1148" s="1100">
        <v>0.97350380082981114</v>
      </c>
      <c r="D1148" s="1100">
        <v>0.99258060759611544</v>
      </c>
      <c r="E1148" s="1100">
        <v>1.0197045146175305</v>
      </c>
      <c r="F1148" s="1100">
        <v>0.98344626007530023</v>
      </c>
      <c r="G1148" s="1100">
        <v>1.0101198216482081</v>
      </c>
      <c r="H1148" s="1100">
        <v>1.0117571688483844</v>
      </c>
      <c r="I1148" s="1100">
        <v>1.0212156200435087</v>
      </c>
      <c r="K1148">
        <v>1.3088366369560471</v>
      </c>
      <c r="L1148">
        <v>0</v>
      </c>
      <c r="M1148">
        <v>6.0137297043699094E-4</v>
      </c>
      <c r="N1148">
        <v>5.8690018952352145E-2</v>
      </c>
      <c r="O1148">
        <v>8.0019826306777283E-3</v>
      </c>
      <c r="P1148">
        <v>1.6301160472480244E-2</v>
      </c>
      <c r="Q1148">
        <v>4.7251247390218054E-4</v>
      </c>
      <c r="R1148">
        <v>5.9961904376572045E-4</v>
      </c>
      <c r="S1148">
        <v>6.4191484118805653E-2</v>
      </c>
      <c r="T1148">
        <v>1.0147179469893652</v>
      </c>
      <c r="U1148">
        <v>0</v>
      </c>
      <c r="V1148">
        <v>9.8905739868657902E-2</v>
      </c>
      <c r="W1148">
        <v>3.8109902692734995E-2</v>
      </c>
      <c r="X1148">
        <v>7.8156773109751988E-3</v>
      </c>
      <c r="Y1148">
        <v>1.6319653727656371E-3</v>
      </c>
    </row>
    <row r="1149" spans="1:25" x14ac:dyDescent="0.25">
      <c r="A1149" s="1096"/>
      <c r="B1149" s="1455">
        <v>899</v>
      </c>
      <c r="C1149" s="1100">
        <v>1.0297000637071665</v>
      </c>
      <c r="D1149" s="1100">
        <v>1.0024849358801544</v>
      </c>
      <c r="E1149" s="1100">
        <v>1.0352679097980895</v>
      </c>
      <c r="F1149" s="1100">
        <v>0.96881117717381759</v>
      </c>
      <c r="G1149" s="1100">
        <v>1.0038362817220892</v>
      </c>
      <c r="H1149" s="1100">
        <v>1.0098912545389447</v>
      </c>
      <c r="I1149" s="1100">
        <v>1.029430398698802</v>
      </c>
      <c r="K1149">
        <v>1.2827036928141602</v>
      </c>
      <c r="L1149">
        <v>0</v>
      </c>
      <c r="M1149">
        <v>5.4722400073211881E-4</v>
      </c>
      <c r="N1149">
        <v>5.5970950397823814E-2</v>
      </c>
      <c r="O1149">
        <v>7.5390070426497677E-3</v>
      </c>
      <c r="P1149">
        <v>1.6198625476749131E-2</v>
      </c>
      <c r="Q1149">
        <v>4.5208673642732671E-4</v>
      </c>
      <c r="R1149">
        <v>5.4562505271812185E-4</v>
      </c>
      <c r="S1149">
        <v>6.0810313068261616E-2</v>
      </c>
      <c r="T1149">
        <v>0.99918099450076803</v>
      </c>
      <c r="U1149">
        <v>0</v>
      </c>
      <c r="V1149">
        <v>9.7229327603132826E-2</v>
      </c>
      <c r="W1149">
        <v>3.6016789775754704E-2</v>
      </c>
      <c r="X1149">
        <v>7.8221856323592489E-3</v>
      </c>
      <c r="Y1149">
        <v>1.485011528248439E-3</v>
      </c>
    </row>
    <row r="1150" spans="1:25" x14ac:dyDescent="0.25">
      <c r="A1150" s="1096"/>
      <c r="B1150" s="1455">
        <v>900</v>
      </c>
      <c r="C1150" s="1100">
        <v>1.0038767344937556</v>
      </c>
      <c r="D1150" s="1100">
        <v>1.0089754778125892</v>
      </c>
      <c r="E1150" s="1100">
        <v>1.0053073678426552</v>
      </c>
      <c r="F1150" s="1100">
        <v>1.0089132036085251</v>
      </c>
      <c r="G1150" s="1100">
        <v>0.99651672158644722</v>
      </c>
      <c r="H1150" s="1100">
        <v>1.042409447979384</v>
      </c>
      <c r="I1150" s="1100">
        <v>1.0187194468182013</v>
      </c>
      <c r="K1150">
        <v>1.3304039290919887</v>
      </c>
      <c r="L1150">
        <v>0</v>
      </c>
      <c r="M1150">
        <v>6.1505229914140906E-4</v>
      </c>
      <c r="N1150">
        <v>5.7477335015050618E-2</v>
      </c>
      <c r="O1150">
        <v>7.7056786338358602E-3</v>
      </c>
      <c r="P1150">
        <v>1.6451431730732824E-2</v>
      </c>
      <c r="Q1150">
        <v>4.4852312081383581E-4</v>
      </c>
      <c r="R1150">
        <v>6.1331122395662664E-4</v>
      </c>
      <c r="S1150">
        <v>6.2486961787988828E-2</v>
      </c>
      <c r="T1150">
        <v>1.0414216404398102</v>
      </c>
      <c r="U1150">
        <v>0</v>
      </c>
      <c r="V1150">
        <v>9.7460994745808882E-2</v>
      </c>
      <c r="W1150">
        <v>3.7640031438743657E-2</v>
      </c>
      <c r="X1150">
        <v>7.6438422807696485E-3</v>
      </c>
      <c r="Y1150">
        <v>1.6692309736192974E-3</v>
      </c>
    </row>
    <row r="1151" spans="1:25" x14ac:dyDescent="0.25">
      <c r="A1151" s="1096"/>
      <c r="B1151" s="1455">
        <v>901</v>
      </c>
      <c r="C1151" s="1100">
        <v>1.0222198696853817</v>
      </c>
      <c r="D1151" s="1100">
        <v>1.0222379102777694</v>
      </c>
      <c r="E1151" s="1100">
        <v>0.98740188378080262</v>
      </c>
      <c r="F1151" s="1100">
        <v>0.99607967182395318</v>
      </c>
      <c r="G1151" s="1100">
        <v>1.0143972604508908</v>
      </c>
      <c r="H1151" s="1100">
        <v>1.0265063169873296</v>
      </c>
      <c r="I1151" s="1100">
        <v>1.0219447850829837</v>
      </c>
      <c r="K1151">
        <v>1.3104664060793896</v>
      </c>
      <c r="L1151">
        <v>0</v>
      </c>
      <c r="M1151">
        <v>6.1407864882031659E-4</v>
      </c>
      <c r="N1151">
        <v>5.436125110277068E-2</v>
      </c>
      <c r="O1151">
        <v>7.523719597900675E-3</v>
      </c>
      <c r="P1151">
        <v>1.6041020707945386E-2</v>
      </c>
      <c r="Q1151">
        <v>4.3010468602689691E-4</v>
      </c>
      <c r="R1151">
        <v>6.1231339894493337E-4</v>
      </c>
      <c r="S1151">
        <v>6.0634170578265013E-2</v>
      </c>
      <c r="T1151">
        <v>1.0287074057394003</v>
      </c>
      <c r="U1151">
        <v>0</v>
      </c>
      <c r="V1151">
        <v>9.7863117293187155E-2</v>
      </c>
      <c r="W1151">
        <v>3.5981391109776578E-2</v>
      </c>
      <c r="X1151">
        <v>7.2594752911199446E-3</v>
      </c>
      <c r="Y1151">
        <v>1.6665152228703946E-3</v>
      </c>
    </row>
    <row r="1152" spans="1:25" x14ac:dyDescent="0.25">
      <c r="A1152" s="1096"/>
      <c r="B1152" s="1455">
        <v>902</v>
      </c>
      <c r="C1152" s="1100">
        <v>1.0225500277039783</v>
      </c>
      <c r="D1152" s="1100">
        <v>0.98180603803259536</v>
      </c>
      <c r="E1152" s="1100">
        <v>0.98976389327479808</v>
      </c>
      <c r="F1152" s="1100">
        <v>0.99530741078636342</v>
      </c>
      <c r="G1152" s="1100">
        <v>1.008138094993474</v>
      </c>
      <c r="H1152" s="1100">
        <v>1.0144552100936843</v>
      </c>
      <c r="I1152" s="1100">
        <v>0.99946294851943496</v>
      </c>
      <c r="K1152">
        <v>1.3095681438029709</v>
      </c>
      <c r="L1152">
        <v>0</v>
      </c>
      <c r="M1152">
        <v>6.1353801077345988E-4</v>
      </c>
      <c r="N1152">
        <v>5.4700819552574602E-2</v>
      </c>
      <c r="O1152">
        <v>7.6442567112449799E-3</v>
      </c>
      <c r="P1152">
        <v>1.6047989007672007E-2</v>
      </c>
      <c r="Q1152">
        <v>4.3804073909187445E-4</v>
      </c>
      <c r="R1152">
        <v>6.1175336340753771E-4</v>
      </c>
      <c r="S1152">
        <v>6.0213736562477416E-2</v>
      </c>
      <c r="T1152">
        <v>1.0278390717617183</v>
      </c>
      <c r="U1152">
        <v>0</v>
      </c>
      <c r="V1152">
        <v>9.7555125992587061E-2</v>
      </c>
      <c r="W1152">
        <v>3.6154897045638082E-2</v>
      </c>
      <c r="X1152">
        <v>7.3110000865779391E-3</v>
      </c>
      <c r="Y1152">
        <v>1.6649909907532688E-3</v>
      </c>
    </row>
    <row r="1153" spans="1:25" x14ac:dyDescent="0.25">
      <c r="A1153" s="1096"/>
      <c r="B1153" s="1455">
        <v>903</v>
      </c>
      <c r="C1153" s="1100">
        <v>0.97731922510891134</v>
      </c>
      <c r="D1153" s="1100">
        <v>1.0420067507970121</v>
      </c>
      <c r="E1153" s="1100">
        <v>1.0063649909964172</v>
      </c>
      <c r="F1153" s="1100">
        <v>1.0179908247201364</v>
      </c>
      <c r="G1153" s="1100">
        <v>0.98877064194631026</v>
      </c>
      <c r="H1153" s="1100">
        <v>0.97807069316476047</v>
      </c>
      <c r="I1153" s="1100">
        <v>1.0053537637903751</v>
      </c>
      <c r="K1153">
        <v>1.3334575590335391</v>
      </c>
      <c r="L1153">
        <v>0</v>
      </c>
      <c r="M1153">
        <v>5.8389976708958047E-4</v>
      </c>
      <c r="N1153">
        <v>5.4730432604858915E-2</v>
      </c>
      <c r="O1153">
        <v>7.8140000240983255E-3</v>
      </c>
      <c r="P1153">
        <v>1.656610685446578E-2</v>
      </c>
      <c r="Q1153">
        <v>4.5531039103643652E-4</v>
      </c>
      <c r="R1153">
        <v>5.821381485411084E-4</v>
      </c>
      <c r="S1153">
        <v>6.027794919378994E-2</v>
      </c>
      <c r="T1153">
        <v>1.0507598942498158</v>
      </c>
      <c r="U1153">
        <v>0</v>
      </c>
      <c r="V1153">
        <v>9.7758342275483204E-2</v>
      </c>
      <c r="W1153">
        <v>3.5818755670901287E-2</v>
      </c>
      <c r="X1153">
        <v>7.6941412490967032E-3</v>
      </c>
      <c r="Y1153">
        <v>1.5843881385398054E-3</v>
      </c>
    </row>
    <row r="1154" spans="1:25" x14ac:dyDescent="0.25">
      <c r="A1154" s="1096"/>
      <c r="B1154" s="1455">
        <v>904</v>
      </c>
      <c r="C1154" s="1100">
        <v>0.97905806444229115</v>
      </c>
      <c r="D1154" s="1100">
        <v>0.97689849724337119</v>
      </c>
      <c r="E1154" s="1100">
        <v>0.99366957137157352</v>
      </c>
      <c r="F1154" s="1100">
        <v>0.9995690295159394</v>
      </c>
      <c r="G1154" s="1100">
        <v>0.98540592046812525</v>
      </c>
      <c r="H1154" s="1100">
        <v>1.0002476466754895</v>
      </c>
      <c r="I1154" s="1100">
        <v>1.0037534620698183</v>
      </c>
      <c r="K1154">
        <v>1.3203837157025149</v>
      </c>
      <c r="L1154">
        <v>0</v>
      </c>
      <c r="M1154">
        <v>6.2798436741205374E-4</v>
      </c>
      <c r="N1154">
        <v>5.6651438873913787E-2</v>
      </c>
      <c r="O1154">
        <v>8.0008378550463308E-3</v>
      </c>
      <c r="P1154">
        <v>1.6189326741959977E-2</v>
      </c>
      <c r="Q1154">
        <v>4.6028577380598077E-4</v>
      </c>
      <c r="R1154">
        <v>6.2613175268132464E-4</v>
      </c>
      <c r="S1154">
        <v>6.2883467851508681E-2</v>
      </c>
      <c r="T1154">
        <v>1.0321228141182821</v>
      </c>
      <c r="U1154">
        <v>0</v>
      </c>
      <c r="V1154">
        <v>9.7536303556635992E-2</v>
      </c>
      <c r="W1154">
        <v>3.7356784192062592E-2</v>
      </c>
      <c r="X1154">
        <v>7.4801851275087591E-3</v>
      </c>
      <c r="Y1154">
        <v>1.7041242265217666E-3</v>
      </c>
    </row>
    <row r="1155" spans="1:25" x14ac:dyDescent="0.25">
      <c r="A1155" s="1096"/>
      <c r="B1155" s="1455">
        <v>905</v>
      </c>
      <c r="C1155" s="1100">
        <v>0.98142236235086111</v>
      </c>
      <c r="D1155" s="1100">
        <v>1.0012328467420171</v>
      </c>
      <c r="E1155" s="1100">
        <v>1.0207543327258397</v>
      </c>
      <c r="F1155" s="1100">
        <v>0.99412916513015215</v>
      </c>
      <c r="G1155" s="1100">
        <v>0.99792012476641179</v>
      </c>
      <c r="H1155" s="1100">
        <v>1.01539131607763</v>
      </c>
      <c r="I1155" s="1100">
        <v>1.0012349225755859</v>
      </c>
      <c r="K1155">
        <v>1.3164441666457365</v>
      </c>
      <c r="L1155">
        <v>0</v>
      </c>
      <c r="M1155">
        <v>5.952869607692235E-4</v>
      </c>
      <c r="N1155">
        <v>5.8280957968684759E-2</v>
      </c>
      <c r="O1155">
        <v>7.910174050356638E-3</v>
      </c>
      <c r="P1155">
        <v>1.6428063913411575E-2</v>
      </c>
      <c r="Q1155">
        <v>4.6757891214803729E-4</v>
      </c>
      <c r="R1155">
        <v>5.9355699805342698E-4</v>
      </c>
      <c r="S1155">
        <v>6.2252453221422893E-2</v>
      </c>
      <c r="T1155">
        <v>1.0257101104273707</v>
      </c>
      <c r="U1155">
        <v>0</v>
      </c>
      <c r="V1155">
        <v>9.8111199739340002E-2</v>
      </c>
      <c r="W1155">
        <v>3.7821049551046017E-2</v>
      </c>
      <c r="X1155">
        <v>7.8488423419805185E-3</v>
      </c>
      <c r="Y1155">
        <v>1.6154664826896065E-3</v>
      </c>
    </row>
    <row r="1156" spans="1:25" x14ac:dyDescent="0.25">
      <c r="A1156" s="1096"/>
      <c r="B1156" s="1455">
        <v>906</v>
      </c>
      <c r="C1156" s="1100">
        <v>0.97763104082345831</v>
      </c>
      <c r="D1156" s="1100">
        <v>0.99963529182284649</v>
      </c>
      <c r="E1156" s="1100">
        <v>0.97281006598623743</v>
      </c>
      <c r="F1156" s="1100">
        <v>0.97196489057074709</v>
      </c>
      <c r="G1156" s="1100">
        <v>1.0264910063481119</v>
      </c>
      <c r="H1156" s="1100">
        <v>1.0054114616707497</v>
      </c>
      <c r="I1156" s="1100">
        <v>1.0124550591716979</v>
      </c>
      <c r="K1156">
        <v>1.2918071874276944</v>
      </c>
      <c r="L1156">
        <v>0</v>
      </c>
      <c r="M1156">
        <v>6.5397892941999717E-4</v>
      </c>
      <c r="N1156">
        <v>5.5389702135906764E-2</v>
      </c>
      <c r="O1156">
        <v>7.9338904427774682E-3</v>
      </c>
      <c r="P1156">
        <v>1.5589648891858798E-2</v>
      </c>
      <c r="Q1156">
        <v>4.4687603372432327E-4</v>
      </c>
      <c r="R1156">
        <v>6.5205953714536614E-4</v>
      </c>
      <c r="S1156">
        <v>6.2883880628969935E-2</v>
      </c>
      <c r="T1156">
        <v>1.0042333000576686</v>
      </c>
      <c r="U1156">
        <v>0</v>
      </c>
      <c r="V1156">
        <v>9.953725219407647E-2</v>
      </c>
      <c r="W1156">
        <v>3.6986544457306245E-2</v>
      </c>
      <c r="X1156">
        <v>7.0333208689372676E-3</v>
      </c>
      <c r="Y1156">
        <v>1.774691108741036E-3</v>
      </c>
    </row>
    <row r="1157" spans="1:25" x14ac:dyDescent="0.25">
      <c r="A1157" s="1096"/>
      <c r="B1157" s="1455">
        <v>907</v>
      </c>
      <c r="C1157" s="1100">
        <v>1.0065427880301396</v>
      </c>
      <c r="D1157" s="1100">
        <v>1.0052944897705722</v>
      </c>
      <c r="E1157" s="1100">
        <v>0.99562325084552017</v>
      </c>
      <c r="F1157" s="1100">
        <v>0.97605904573527291</v>
      </c>
      <c r="G1157" s="1100">
        <v>1.0226596801293559</v>
      </c>
      <c r="H1157" s="1100">
        <v>0.98226857318201788</v>
      </c>
      <c r="I1157" s="1100">
        <v>0.96644288269489609</v>
      </c>
      <c r="K1157">
        <v>1.2856616423667961</v>
      </c>
      <c r="L1157">
        <v>0</v>
      </c>
      <c r="M1157">
        <v>5.9062480618793118E-4</v>
      </c>
      <c r="N1157">
        <v>5.3593818386128311E-2</v>
      </c>
      <c r="O1157">
        <v>7.6941552953060949E-3</v>
      </c>
      <c r="P1157">
        <v>1.5823772569516933E-2</v>
      </c>
      <c r="Q1157">
        <v>4.435151200607586E-4</v>
      </c>
      <c r="R1157">
        <v>5.8885051354280943E-4</v>
      </c>
      <c r="S1157">
        <v>5.7470058100169259E-2</v>
      </c>
      <c r="T1157">
        <v>1.0077900977231473</v>
      </c>
      <c r="U1157">
        <v>0</v>
      </c>
      <c r="V1157">
        <v>9.8649505324444664E-2</v>
      </c>
      <c r="W1157">
        <v>3.5299358773340478E-2</v>
      </c>
      <c r="X1157">
        <v>7.2964783839829916E-3</v>
      </c>
      <c r="Y1157">
        <v>1.6026569833439068E-3</v>
      </c>
    </row>
    <row r="1158" spans="1:25" x14ac:dyDescent="0.25">
      <c r="A1158" s="1096"/>
      <c r="B1158" s="1455">
        <v>908</v>
      </c>
      <c r="C1158" s="1100">
        <v>1.0064985393611574</v>
      </c>
      <c r="D1158" s="1100">
        <v>1.0028775657740367</v>
      </c>
      <c r="E1158" s="1100">
        <v>1.014538866211931</v>
      </c>
      <c r="F1158" s="1100">
        <v>0.98684563450573493</v>
      </c>
      <c r="G1158" s="1100">
        <v>1.0228443632948421</v>
      </c>
      <c r="H1158" s="1100">
        <v>0.99978605532228959</v>
      </c>
      <c r="I1158" s="1100">
        <v>1.0250078291198663</v>
      </c>
      <c r="K1158">
        <v>1.3040852839361801</v>
      </c>
      <c r="L1158">
        <v>0</v>
      </c>
      <c r="M1158">
        <v>5.785915597954442E-4</v>
      </c>
      <c r="N1158">
        <v>5.5591438087189658E-2</v>
      </c>
      <c r="O1158">
        <v>7.7065173078263976E-3</v>
      </c>
      <c r="P1158">
        <v>1.6250927295194072E-2</v>
      </c>
      <c r="Q1158">
        <v>4.5273077558689016E-4</v>
      </c>
      <c r="R1158">
        <v>5.7688387057354916E-4</v>
      </c>
      <c r="S1158">
        <v>6.1597114485026139E-2</v>
      </c>
      <c r="T1158">
        <v>1.0183745543967304</v>
      </c>
      <c r="U1158">
        <v>0</v>
      </c>
      <c r="V1158">
        <v>9.8680762642127134E-2</v>
      </c>
      <c r="W1158">
        <v>3.6207370849542515E-2</v>
      </c>
      <c r="X1158">
        <v>7.6554880601940496E-3</v>
      </c>
      <c r="Y1158">
        <v>1.5700877259843754E-3</v>
      </c>
    </row>
    <row r="1159" spans="1:25" x14ac:dyDescent="0.25">
      <c r="A1159" s="1096"/>
      <c r="B1159" s="1455">
        <v>909</v>
      </c>
      <c r="C1159" s="1100">
        <v>1.0103746792016501</v>
      </c>
      <c r="D1159" s="1100">
        <v>0.95823289471676831</v>
      </c>
      <c r="E1159" s="1100">
        <v>1.0005674546264025</v>
      </c>
      <c r="F1159" s="1100">
        <v>0.99725732601237704</v>
      </c>
      <c r="G1159" s="1100">
        <v>1.0313847086112105</v>
      </c>
      <c r="H1159" s="1100">
        <v>0.95563078235499654</v>
      </c>
      <c r="I1159" s="1100">
        <v>1.0034560826155285</v>
      </c>
      <c r="K1159">
        <v>1.3103782576147998</v>
      </c>
      <c r="L1159">
        <v>0</v>
      </c>
      <c r="M1159">
        <v>5.7756055782618343E-4</v>
      </c>
      <c r="N1159">
        <v>5.319272626666572E-2</v>
      </c>
      <c r="O1159">
        <v>7.814613748015644E-3</v>
      </c>
      <c r="P1159">
        <v>1.622057144637155E-2</v>
      </c>
      <c r="Q1159">
        <v>4.5270536255834882E-4</v>
      </c>
      <c r="R1159">
        <v>5.7577714775463012E-4</v>
      </c>
      <c r="S1159">
        <v>6.0181525005377087E-2</v>
      </c>
      <c r="T1159">
        <v>1.0295304794603097</v>
      </c>
      <c r="U1159">
        <v>0</v>
      </c>
      <c r="V1159">
        <v>9.8983752241902437E-2</v>
      </c>
      <c r="W1159">
        <v>3.4932224435333475E-2</v>
      </c>
      <c r="X1159">
        <v>7.5043674670331583E-3</v>
      </c>
      <c r="Y1159">
        <v>1.5670755913023574E-3</v>
      </c>
    </row>
    <row r="1160" spans="1:25" x14ac:dyDescent="0.25">
      <c r="A1160" s="1096"/>
      <c r="B1160" s="1455">
        <v>910</v>
      </c>
      <c r="C1160" s="1100">
        <v>0.99082540051454748</v>
      </c>
      <c r="D1160" s="1100">
        <v>0.99337675895571464</v>
      </c>
      <c r="E1160" s="1100">
        <v>1.0269931477921379</v>
      </c>
      <c r="F1160" s="1100">
        <v>0.96042224399126075</v>
      </c>
      <c r="G1160" s="1100">
        <v>1.0083225612167304</v>
      </c>
      <c r="H1160" s="1100">
        <v>0.99856496573243236</v>
      </c>
      <c r="I1160" s="1100">
        <v>1.013910413814693</v>
      </c>
      <c r="K1160">
        <v>1.2793008455105463</v>
      </c>
      <c r="L1160">
        <v>0</v>
      </c>
      <c r="M1160">
        <v>5.7419010184736033E-4</v>
      </c>
      <c r="N1160">
        <v>5.7280432268087059E-2</v>
      </c>
      <c r="O1160">
        <v>7.8613879629469974E-3</v>
      </c>
      <c r="P1160">
        <v>1.6019636379362632E-2</v>
      </c>
      <c r="Q1160">
        <v>4.6758006827542692E-4</v>
      </c>
      <c r="R1160">
        <v>5.7249333099520735E-4</v>
      </c>
      <c r="S1160">
        <v>6.2185126287351851E-2</v>
      </c>
      <c r="T1160">
        <v>0.99075830396627562</v>
      </c>
      <c r="U1160">
        <v>0</v>
      </c>
      <c r="V1160">
        <v>9.8381850440616425E-2</v>
      </c>
      <c r="W1160">
        <v>3.7036744645289332E-2</v>
      </c>
      <c r="X1160">
        <v>7.7533421385982794E-3</v>
      </c>
      <c r="Y1160">
        <v>1.5581381245931124E-3</v>
      </c>
    </row>
    <row r="1161" spans="1:25" x14ac:dyDescent="0.25">
      <c r="A1161" s="1096"/>
      <c r="B1161" s="1455">
        <v>911</v>
      </c>
      <c r="C1161" s="1100">
        <v>0.98735277662258392</v>
      </c>
      <c r="D1161" s="1100">
        <v>0.98530275648651799</v>
      </c>
      <c r="E1161" s="1100">
        <v>0.97873712584348183</v>
      </c>
      <c r="F1161" s="1100">
        <v>0.96732727785812922</v>
      </c>
      <c r="G1161" s="1100">
        <v>1.035062719540067</v>
      </c>
      <c r="H1161" s="1100">
        <v>1.0087003023717913</v>
      </c>
      <c r="I1161" s="1100">
        <v>1.0417814544464472</v>
      </c>
      <c r="K1161">
        <v>1.2891683617049241</v>
      </c>
      <c r="L1161">
        <v>0</v>
      </c>
      <c r="M1161">
        <v>6.454675266232211E-4</v>
      </c>
      <c r="N1161">
        <v>5.5658895177550703E-2</v>
      </c>
      <c r="O1161">
        <v>7.9027589063039028E-3</v>
      </c>
      <c r="P1161">
        <v>1.5620028886114697E-2</v>
      </c>
      <c r="Q1161">
        <v>4.4781853184220624E-4</v>
      </c>
      <c r="R1161">
        <v>6.4357929152835422E-4</v>
      </c>
      <c r="S1161">
        <v>6.467898300595179E-2</v>
      </c>
      <c r="T1161">
        <v>0.99926691387937161</v>
      </c>
      <c r="U1161">
        <v>0</v>
      </c>
      <c r="V1161">
        <v>9.9709001553441923E-2</v>
      </c>
      <c r="W1161">
        <v>3.7033076745012279E-2</v>
      </c>
      <c r="X1161">
        <v>7.1011625787449593E-3</v>
      </c>
      <c r="Y1161">
        <v>1.7516106756837464E-3</v>
      </c>
    </row>
    <row r="1162" spans="1:25" x14ac:dyDescent="0.25">
      <c r="A1162" s="1096"/>
      <c r="B1162" s="1455">
        <v>912</v>
      </c>
      <c r="C1162" s="1100">
        <v>1.0441388802541327</v>
      </c>
      <c r="D1162" s="1100">
        <v>1.0179636752082097</v>
      </c>
      <c r="E1162" s="1100">
        <v>1.0232270080471535</v>
      </c>
      <c r="F1162" s="1100">
        <v>1.0264946971155566</v>
      </c>
      <c r="G1162" s="1100">
        <v>1.0035047375154418</v>
      </c>
      <c r="H1162" s="1100">
        <v>0.97024451011107216</v>
      </c>
      <c r="I1162" s="1100">
        <v>0.95275249644360493</v>
      </c>
      <c r="K1162">
        <v>1.3295934192430634</v>
      </c>
      <c r="L1162">
        <v>0</v>
      </c>
      <c r="M1162">
        <v>5.2839402030740231E-4</v>
      </c>
      <c r="N1162">
        <v>5.2112086482135604E-2</v>
      </c>
      <c r="O1162">
        <v>7.3865032966149201E-3</v>
      </c>
      <c r="P1162">
        <v>1.6787459273037372E-2</v>
      </c>
      <c r="Q1162">
        <v>4.3769761948126194E-4</v>
      </c>
      <c r="R1162">
        <v>5.267870031318584E-4</v>
      </c>
      <c r="S1162">
        <v>5.3941136601762994E-2</v>
      </c>
      <c r="T1162">
        <v>1.0590299209373193</v>
      </c>
      <c r="U1162">
        <v>0</v>
      </c>
      <c r="V1162">
        <v>9.6866869335578573E-2</v>
      </c>
      <c r="W1162">
        <v>3.3768989776468479E-2</v>
      </c>
      <c r="X1162">
        <v>7.8306223706034548E-3</v>
      </c>
      <c r="Y1162">
        <v>1.4337405672360073E-3</v>
      </c>
    </row>
    <row r="1163" spans="1:25" x14ac:dyDescent="0.25">
      <c r="A1163" s="1096"/>
      <c r="B1163" s="1455">
        <v>913</v>
      </c>
      <c r="C1163" s="1100">
        <v>1.0349223222121122</v>
      </c>
      <c r="D1163" s="1100">
        <v>0.98730062501221927</v>
      </c>
      <c r="E1163" s="1100">
        <v>1.009716747117285</v>
      </c>
      <c r="F1163" s="1100">
        <v>0.96620838417081423</v>
      </c>
      <c r="G1163" s="1100">
        <v>0.97915549856824979</v>
      </c>
      <c r="H1163" s="1100">
        <v>0.98218847569310641</v>
      </c>
      <c r="I1163" s="1100">
        <v>1.0340816646613733</v>
      </c>
      <c r="K1163">
        <v>1.2742182675224969</v>
      </c>
      <c r="L1163">
        <v>0</v>
      </c>
      <c r="M1163">
        <v>5.6187125604938008E-4</v>
      </c>
      <c r="N1163">
        <v>5.3202021933129715E-2</v>
      </c>
      <c r="O1163">
        <v>7.5407861611654766E-3</v>
      </c>
      <c r="P1163">
        <v>1.5847645916357348E-2</v>
      </c>
      <c r="Q1163">
        <v>4.4086688372923925E-4</v>
      </c>
      <c r="R1163">
        <v>5.6018320413242289E-4</v>
      </c>
      <c r="S1163">
        <v>6.040089145882914E-2</v>
      </c>
      <c r="T1163">
        <v>0.99721496065043058</v>
      </c>
      <c r="U1163">
        <v>0</v>
      </c>
      <c r="V1163">
        <v>9.5885300152704495E-2</v>
      </c>
      <c r="W1163">
        <v>3.474962028941235E-2</v>
      </c>
      <c r="X1163">
        <v>7.4132281113499085E-3</v>
      </c>
      <c r="Y1163">
        <v>1.5246340173048422E-3</v>
      </c>
    </row>
    <row r="1164" spans="1:25" x14ac:dyDescent="0.25">
      <c r="A1164" s="1096"/>
      <c r="B1164" s="1455">
        <v>914</v>
      </c>
      <c r="C1164" s="1100">
        <v>1.0049502903411289</v>
      </c>
      <c r="D1164" s="1100">
        <v>1.0198351495039448</v>
      </c>
      <c r="E1164" s="1100">
        <v>0.96729283994506443</v>
      </c>
      <c r="F1164" s="1100">
        <v>1.008881218617754</v>
      </c>
      <c r="G1164" s="1100">
        <v>1.0196282493292719</v>
      </c>
      <c r="H1164" s="1100">
        <v>0.99555520316840262</v>
      </c>
      <c r="I1164" s="1100">
        <v>1.0082339525355311</v>
      </c>
      <c r="K1164">
        <v>1.3217772904387453</v>
      </c>
      <c r="L1164">
        <v>0</v>
      </c>
      <c r="M1164">
        <v>6.3210178251028404E-4</v>
      </c>
      <c r="N1164">
        <v>5.2648322265535535E-2</v>
      </c>
      <c r="O1164">
        <v>7.6553625530313028E-3</v>
      </c>
      <c r="P1164">
        <v>1.5981079367283837E-2</v>
      </c>
      <c r="Q1164">
        <v>4.2876339215115766E-4</v>
      </c>
      <c r="R1164">
        <v>6.3022823165115945E-4</v>
      </c>
      <c r="S1164">
        <v>5.9965211759610712E-2</v>
      </c>
      <c r="T1164">
        <v>1.0425458864760382</v>
      </c>
      <c r="U1164">
        <v>0</v>
      </c>
      <c r="V1164">
        <v>9.8510380362600639E-2</v>
      </c>
      <c r="W1164">
        <v>3.5274230893223804E-2</v>
      </c>
      <c r="X1164">
        <v>7.0546534282552838E-3</v>
      </c>
      <c r="Y1164">
        <v>1.715273491873728E-3</v>
      </c>
    </row>
    <row r="1165" spans="1:25" x14ac:dyDescent="0.25">
      <c r="A1165" s="1096"/>
      <c r="B1165" s="1455">
        <v>915</v>
      </c>
      <c r="C1165" s="1100">
        <v>1.0028332563469051</v>
      </c>
      <c r="D1165" s="1100">
        <v>1.0251399062714426</v>
      </c>
      <c r="E1165" s="1100">
        <v>1.0135368245787604</v>
      </c>
      <c r="F1165" s="1100">
        <v>1.0038622669122259</v>
      </c>
      <c r="G1165" s="1100">
        <v>0.98473780993490467</v>
      </c>
      <c r="H1165" s="1100">
        <v>1.0222705601655002</v>
      </c>
      <c r="I1165" s="1100">
        <v>1.0050913064089668</v>
      </c>
      <c r="K1165">
        <v>1.3206765452905656</v>
      </c>
      <c r="L1165">
        <v>0</v>
      </c>
      <c r="M1165">
        <v>5.8980147299527612E-4</v>
      </c>
      <c r="N1165">
        <v>5.6501050329316793E-2</v>
      </c>
      <c r="O1165">
        <v>7.6668100500099741E-3</v>
      </c>
      <c r="P1165">
        <v>1.6443224546873032E-2</v>
      </c>
      <c r="Q1165">
        <v>4.4994818795566788E-4</v>
      </c>
      <c r="R1165">
        <v>5.8809898594483804E-4</v>
      </c>
      <c r="S1165">
        <v>6.0592338525930503E-2</v>
      </c>
      <c r="T1165">
        <v>1.0359643756235264</v>
      </c>
      <c r="U1165">
        <v>0</v>
      </c>
      <c r="V1165">
        <v>9.6926005621917541E-2</v>
      </c>
      <c r="W1165">
        <v>3.6821493840663855E-2</v>
      </c>
      <c r="X1165">
        <v>7.7123894784592783E-3</v>
      </c>
      <c r="Y1165">
        <v>1.6006115729632355E-3</v>
      </c>
    </row>
    <row r="1166" spans="1:25" x14ac:dyDescent="0.25">
      <c r="A1166" s="1096"/>
      <c r="B1166" s="1455">
        <v>916</v>
      </c>
      <c r="C1166" s="1100">
        <v>1.0083825602878524</v>
      </c>
      <c r="D1166" s="1100">
        <v>0.99782886697387974</v>
      </c>
      <c r="E1166" s="1100">
        <v>1.0420276762226215</v>
      </c>
      <c r="F1166" s="1100">
        <v>1.0097089525184335</v>
      </c>
      <c r="G1166" s="1100">
        <v>0.9781279144027234</v>
      </c>
      <c r="H1166" s="1100">
        <v>1.0344549436334221</v>
      </c>
      <c r="I1166" s="1100">
        <v>0.95407595115106669</v>
      </c>
      <c r="K1166">
        <v>1.3276627021362517</v>
      </c>
      <c r="L1166">
        <v>0</v>
      </c>
      <c r="M1166">
        <v>5.654197908652452E-4</v>
      </c>
      <c r="N1166">
        <v>5.9025970249875187E-2</v>
      </c>
      <c r="O1166">
        <v>7.7143891590688504E-3</v>
      </c>
      <c r="P1166">
        <v>1.6824291167343037E-2</v>
      </c>
      <c r="Q1166">
        <v>4.6569113853346547E-4</v>
      </c>
      <c r="R1166">
        <v>5.6380690645350463E-4</v>
      </c>
      <c r="S1166">
        <v>5.8411211142576393E-2</v>
      </c>
      <c r="T1166">
        <v>1.0411654672459731</v>
      </c>
      <c r="U1166">
        <v>0</v>
      </c>
      <c r="V1166">
        <v>9.6502024131926545E-2</v>
      </c>
      <c r="W1166">
        <v>3.7834922284111963E-2</v>
      </c>
      <c r="X1166">
        <v>8.1858519607854417E-3</v>
      </c>
      <c r="Y1166">
        <v>1.5344965404696783E-3</v>
      </c>
    </row>
    <row r="1167" spans="1:25" x14ac:dyDescent="0.25">
      <c r="A1167" s="1096"/>
      <c r="B1167" s="1455">
        <v>917</v>
      </c>
      <c r="C1167" s="1100">
        <v>1.0295986488903768</v>
      </c>
      <c r="D1167" s="1100">
        <v>0.97478719467647057</v>
      </c>
      <c r="E1167" s="1100">
        <v>0.98666784401627572</v>
      </c>
      <c r="F1167" s="1100">
        <v>1.0137999201973533</v>
      </c>
      <c r="G1167" s="1100">
        <v>1.0083572482805545</v>
      </c>
      <c r="H1167" s="1100">
        <v>1.0363796786246799</v>
      </c>
      <c r="I1167" s="1100">
        <v>0.96271297777671427</v>
      </c>
      <c r="K1167">
        <v>1.3284707333767962</v>
      </c>
      <c r="L1167">
        <v>0</v>
      </c>
      <c r="M1167">
        <v>6.2831062903901595E-4</v>
      </c>
      <c r="N1167">
        <v>5.5499328773149635E-2</v>
      </c>
      <c r="O1167">
        <v>7.6129987364773949E-3</v>
      </c>
      <c r="P1167">
        <v>1.624379143686084E-2</v>
      </c>
      <c r="Q1167">
        <v>4.3488515023767959E-4</v>
      </c>
      <c r="R1167">
        <v>6.2652167436861824E-4</v>
      </c>
      <c r="S1167">
        <v>5.8453954197900851E-2</v>
      </c>
      <c r="T1167">
        <v>1.0470305395146269</v>
      </c>
      <c r="U1167">
        <v>0</v>
      </c>
      <c r="V1167">
        <v>9.7396421799735761E-2</v>
      </c>
      <c r="W1167">
        <v>3.6750873018853304E-2</v>
      </c>
      <c r="X1167">
        <v>7.3445442388068083E-3</v>
      </c>
      <c r="Y1167">
        <v>1.7051854648169303E-3</v>
      </c>
    </row>
    <row r="1168" spans="1:25" x14ac:dyDescent="0.25">
      <c r="A1168" s="1096"/>
      <c r="B1168" s="1455">
        <v>918</v>
      </c>
      <c r="C1168" s="1100">
        <v>0.97116643675647674</v>
      </c>
      <c r="D1168" s="1100">
        <v>0.98611335505014097</v>
      </c>
      <c r="E1168" s="1100">
        <v>0.96508636411387183</v>
      </c>
      <c r="F1168" s="1100">
        <v>0.98297283733623764</v>
      </c>
      <c r="G1168" s="1100">
        <v>0.97028874179398439</v>
      </c>
      <c r="H1168" s="1100">
        <v>0.99970145307466241</v>
      </c>
      <c r="I1168" s="1100">
        <v>0.97897885822354358</v>
      </c>
      <c r="K1168">
        <v>1.299605145425524</v>
      </c>
      <c r="L1168">
        <v>0</v>
      </c>
      <c r="M1168">
        <v>6.6874604995534868E-4</v>
      </c>
      <c r="N1168">
        <v>5.5330142324700834E-2</v>
      </c>
      <c r="O1168">
        <v>8.0283770866244782E-3</v>
      </c>
      <c r="P1168">
        <v>1.5598944896145045E-2</v>
      </c>
      <c r="Q1168">
        <v>4.4864021148709247E-4</v>
      </c>
      <c r="R1168">
        <v>6.6677210642323269E-4</v>
      </c>
      <c r="S1168">
        <v>6.1473729809359584E-2</v>
      </c>
      <c r="T1168">
        <v>1.015839739308438</v>
      </c>
      <c r="U1168">
        <v>0</v>
      </c>
      <c r="V1168">
        <v>9.6978985222807526E-2</v>
      </c>
      <c r="W1168">
        <v>3.7121011523722651E-2</v>
      </c>
      <c r="X1168">
        <v>6.9728151134510466E-3</v>
      </c>
      <c r="Y1168">
        <v>1.8147338723182292E-3</v>
      </c>
    </row>
    <row r="1169" spans="1:25" x14ac:dyDescent="0.25">
      <c r="A1169" s="1096"/>
      <c r="B1169" s="1455">
        <v>919</v>
      </c>
      <c r="C1169" s="1100">
        <v>0.98114317667877127</v>
      </c>
      <c r="D1169" s="1100">
        <v>1.0223196483578658</v>
      </c>
      <c r="E1169" s="1100">
        <v>0.97516560002266806</v>
      </c>
      <c r="F1169" s="1100">
        <v>1.0025364979358624</v>
      </c>
      <c r="G1169" s="1100">
        <v>0.98371481858834864</v>
      </c>
      <c r="H1169" s="1100">
        <v>0.99920613486387022</v>
      </c>
      <c r="I1169" s="1100">
        <v>1.010951726014738</v>
      </c>
      <c r="K1169">
        <v>1.318747154572353</v>
      </c>
      <c r="L1169">
        <v>0</v>
      </c>
      <c r="M1169">
        <v>6.3871374647479621E-4</v>
      </c>
      <c r="N1169">
        <v>5.4482898450563769E-2</v>
      </c>
      <c r="O1169">
        <v>7.8354327151414285E-3</v>
      </c>
      <c r="P1169">
        <v>1.5993844102679174E-2</v>
      </c>
      <c r="Q1169">
        <v>4.4239184001202488E-4</v>
      </c>
      <c r="R1169">
        <v>6.3682751499025613E-4</v>
      </c>
      <c r="S1169">
        <v>6.1627126383348843E-2</v>
      </c>
      <c r="T1169">
        <v>1.0357477311172538</v>
      </c>
      <c r="U1169">
        <v>0</v>
      </c>
      <c r="V1169">
        <v>9.7380143769449937E-2</v>
      </c>
      <c r="W1169">
        <v>3.6329069238578392E-2</v>
      </c>
      <c r="X1169">
        <v>7.1771686211400737E-3</v>
      </c>
      <c r="Y1169">
        <v>1.7332345656695808E-3</v>
      </c>
    </row>
    <row r="1170" spans="1:25" x14ac:dyDescent="0.25">
      <c r="A1170" s="1096"/>
      <c r="B1170" s="1455">
        <v>920</v>
      </c>
      <c r="C1170" s="1100">
        <v>1.0240078623680977</v>
      </c>
      <c r="D1170" s="1100">
        <v>0.98853683605213261</v>
      </c>
      <c r="E1170" s="1100">
        <v>1.0134213449402294</v>
      </c>
      <c r="F1170" s="1100">
        <v>1.007776596786748</v>
      </c>
      <c r="G1170" s="1100">
        <v>0.99837455223277072</v>
      </c>
      <c r="H1170" s="1100">
        <v>0.99256352288666916</v>
      </c>
      <c r="I1170" s="1100">
        <v>1.0318829539960768</v>
      </c>
      <c r="K1170">
        <v>1.3221237165782769</v>
      </c>
      <c r="L1170">
        <v>0</v>
      </c>
      <c r="M1170">
        <v>5.6917275857195455E-4</v>
      </c>
      <c r="N1170">
        <v>5.4501163455024926E-2</v>
      </c>
      <c r="O1170">
        <v>7.6182402489585917E-3</v>
      </c>
      <c r="P1170">
        <v>1.6507916024799504E-2</v>
      </c>
      <c r="Q1170">
        <v>4.4704622325723999E-4</v>
      </c>
      <c r="R1170">
        <v>5.6748064459161433E-4</v>
      </c>
      <c r="S1170">
        <v>6.1198320880391698E-2</v>
      </c>
      <c r="T1170">
        <v>1.0400072976271251</v>
      </c>
      <c r="U1170">
        <v>0</v>
      </c>
      <c r="V1170">
        <v>9.7074511083188667E-2</v>
      </c>
      <c r="W1170">
        <v>3.552058817742354E-2</v>
      </c>
      <c r="X1170">
        <v>7.7058297274528046E-3</v>
      </c>
      <c r="Y1170">
        <v>1.5444952446341609E-3</v>
      </c>
    </row>
    <row r="1171" spans="1:25" x14ac:dyDescent="0.25">
      <c r="A1171" s="1096"/>
      <c r="B1171" s="1455">
        <v>921</v>
      </c>
      <c r="C1171" s="1100">
        <v>0.99134329901690654</v>
      </c>
      <c r="D1171" s="1100">
        <v>0.99083788595981148</v>
      </c>
      <c r="E1171" s="1100">
        <v>0.9901571407591776</v>
      </c>
      <c r="F1171" s="1100">
        <v>0.96112699910988619</v>
      </c>
      <c r="G1171" s="1100">
        <v>1.0204521231255312</v>
      </c>
      <c r="H1171" s="1100">
        <v>0.998086319840918</v>
      </c>
      <c r="I1171" s="1100">
        <v>1.0115870590831426</v>
      </c>
      <c r="K1171">
        <v>1.2781902762746697</v>
      </c>
      <c r="L1171">
        <v>0</v>
      </c>
      <c r="M1171">
        <v>6.1985872979039558E-4</v>
      </c>
      <c r="N1171">
        <v>5.5327450976948508E-2</v>
      </c>
      <c r="O1171">
        <v>7.8561611763308583E-3</v>
      </c>
      <c r="P1171">
        <v>1.5617901284967331E-2</v>
      </c>
      <c r="Q1171">
        <v>4.5036253212890685E-4</v>
      </c>
      <c r="R1171">
        <v>6.1802612660416816E-4</v>
      </c>
      <c r="S1171">
        <v>6.2043556056182621E-2</v>
      </c>
      <c r="T1171">
        <v>0.992530108744901</v>
      </c>
      <c r="U1171">
        <v>0</v>
      </c>
      <c r="V1171">
        <v>9.8914057245174353E-2</v>
      </c>
      <c r="W1171">
        <v>3.6560459391207653E-2</v>
      </c>
      <c r="X1171">
        <v>7.2099880856542993E-3</v>
      </c>
      <c r="Y1171">
        <v>1.682063384358665E-3</v>
      </c>
    </row>
    <row r="1172" spans="1:25" x14ac:dyDescent="0.25">
      <c r="A1172" s="1096"/>
      <c r="B1172" s="1455">
        <v>922</v>
      </c>
      <c r="C1172" s="1100">
        <v>1.0119005789944207</v>
      </c>
      <c r="D1172" s="1100">
        <v>1.0051277988951057</v>
      </c>
      <c r="E1172" s="1100">
        <v>1.0265928134226014</v>
      </c>
      <c r="F1172" s="1100">
        <v>1.008975505476839</v>
      </c>
      <c r="G1172" s="1100">
        <v>0.98164832852193984</v>
      </c>
      <c r="H1172" s="1100">
        <v>1.0039589857109756</v>
      </c>
      <c r="I1172" s="1100">
        <v>0.97903189629066467</v>
      </c>
      <c r="K1172">
        <v>1.3225921780481553</v>
      </c>
      <c r="L1172">
        <v>0</v>
      </c>
      <c r="M1172">
        <v>5.6308484449720691E-4</v>
      </c>
      <c r="N1172">
        <v>5.6105713947825486E-2</v>
      </c>
      <c r="O1172">
        <v>7.6614343521217926E-3</v>
      </c>
      <c r="P1172">
        <v>1.6636455204158351E-2</v>
      </c>
      <c r="Q1172">
        <v>4.5550656941441276E-4</v>
      </c>
      <c r="R1172">
        <v>5.6142983044485048E-4</v>
      </c>
      <c r="S1172">
        <v>5.8584323806948793E-2</v>
      </c>
      <c r="T1172">
        <v>1.0408568787949783</v>
      </c>
      <c r="U1172">
        <v>0</v>
      </c>
      <c r="V1172">
        <v>9.6569585679514472E-2</v>
      </c>
      <c r="W1172">
        <v>3.6285640317638576E-2</v>
      </c>
      <c r="X1172">
        <v>7.9102674664310348E-3</v>
      </c>
      <c r="Y1172">
        <v>1.5280269231770171E-3</v>
      </c>
    </row>
    <row r="1173" spans="1:25" x14ac:dyDescent="0.25">
      <c r="A1173" s="1096"/>
      <c r="B1173" s="1455">
        <v>923</v>
      </c>
      <c r="C1173" s="1100">
        <v>1.0063517295170616</v>
      </c>
      <c r="D1173" s="1100">
        <v>1.0031400401509405</v>
      </c>
      <c r="E1173" s="1100">
        <v>0.97477328677465103</v>
      </c>
      <c r="F1173" s="1100">
        <v>1.0075088715003178</v>
      </c>
      <c r="G1173" s="1100">
        <v>0.99570899372984256</v>
      </c>
      <c r="H1173" s="1100">
        <v>0.98505980122774217</v>
      </c>
      <c r="I1173" s="1100">
        <v>0.98303792084207287</v>
      </c>
      <c r="K1173">
        <v>1.317718762405796</v>
      </c>
      <c r="L1173">
        <v>0</v>
      </c>
      <c r="M1173">
        <v>6.1906811977754874E-4</v>
      </c>
      <c r="N1173">
        <v>5.2742195653270756E-2</v>
      </c>
      <c r="O1173">
        <v>7.6971555338572559E-3</v>
      </c>
      <c r="P1173">
        <v>1.6016706250693156E-2</v>
      </c>
      <c r="Q1173">
        <v>4.3441091158507634E-4</v>
      </c>
      <c r="R1173">
        <v>6.1721365042061572E-4</v>
      </c>
      <c r="S1173">
        <v>5.859892673232743E-2</v>
      </c>
      <c r="T1173">
        <v>1.0408968863061017</v>
      </c>
      <c r="U1173">
        <v>0</v>
      </c>
      <c r="V1173">
        <v>9.7327382478972033E-2</v>
      </c>
      <c r="W1173">
        <v>3.5176737943908465E-2</v>
      </c>
      <c r="X1173">
        <v>7.1503629724153032E-3</v>
      </c>
      <c r="Y1173">
        <v>1.6798520920197374E-3</v>
      </c>
    </row>
    <row r="1174" spans="1:25" x14ac:dyDescent="0.25">
      <c r="A1174" s="1096"/>
      <c r="B1174" s="1455">
        <v>924</v>
      </c>
      <c r="C1174" s="1100">
        <v>0.99802948371475853</v>
      </c>
      <c r="D1174" s="1100">
        <v>0.99979249423705918</v>
      </c>
      <c r="E1174" s="1100">
        <v>1.0024042829273179</v>
      </c>
      <c r="F1174" s="1100">
        <v>0.99402514034442824</v>
      </c>
      <c r="G1174" s="1100">
        <v>1.02346809227933</v>
      </c>
      <c r="H1174" s="1100">
        <v>0.97997586606772757</v>
      </c>
      <c r="I1174" s="1100">
        <v>0.99320382147438568</v>
      </c>
      <c r="K1174">
        <v>1.3083189049101778</v>
      </c>
      <c r="L1174">
        <v>0</v>
      </c>
      <c r="M1174">
        <v>5.8726110085650246E-4</v>
      </c>
      <c r="N1174">
        <v>5.4391271074995383E-2</v>
      </c>
      <c r="O1174">
        <v>7.7785082033245386E-3</v>
      </c>
      <c r="P1174">
        <v>1.6188509757375843E-2</v>
      </c>
      <c r="Q1174">
        <v>4.5144581668258237E-4</v>
      </c>
      <c r="R1174">
        <v>5.8549278568586658E-4</v>
      </c>
      <c r="S1174">
        <v>5.9678031830882619E-2</v>
      </c>
      <c r="T1174">
        <v>1.0261394282134733</v>
      </c>
      <c r="U1174">
        <v>0</v>
      </c>
      <c r="V1174">
        <v>9.8906244579230806E-2</v>
      </c>
      <c r="W1174">
        <v>3.5680393242959033E-2</v>
      </c>
      <c r="X1174">
        <v>7.5133221514299504E-3</v>
      </c>
      <c r="Y1174">
        <v>1.5935183549919995E-3</v>
      </c>
    </row>
    <row r="1175" spans="1:25" x14ac:dyDescent="0.25">
      <c r="A1175" s="1096"/>
      <c r="B1175" s="1455">
        <v>925</v>
      </c>
      <c r="C1175" s="1100">
        <v>0.98573597341417452</v>
      </c>
      <c r="D1175" s="1100">
        <v>0.99007147007164764</v>
      </c>
      <c r="E1175" s="1100">
        <v>0.96513338982187502</v>
      </c>
      <c r="F1175" s="1100">
        <v>0.98795887526478721</v>
      </c>
      <c r="G1175" s="1100">
        <v>1.0064269256245848</v>
      </c>
      <c r="H1175" s="1100">
        <v>1.0041494000503761</v>
      </c>
      <c r="I1175" s="1100">
        <v>1.0224217029115297</v>
      </c>
      <c r="K1175">
        <v>1.3067725493136999</v>
      </c>
      <c r="L1175">
        <v>0</v>
      </c>
      <c r="M1175">
        <v>6.6066954460111454E-4</v>
      </c>
      <c r="N1175">
        <v>5.4670418787921442E-2</v>
      </c>
      <c r="O1175">
        <v>7.8970626311637357E-3</v>
      </c>
      <c r="P1175">
        <v>1.5709874305309179E-2</v>
      </c>
      <c r="Q1175">
        <v>4.4132339173775045E-4</v>
      </c>
      <c r="R1175">
        <v>6.5872807867646955E-4</v>
      </c>
      <c r="S1175">
        <v>6.3258303965108967E-2</v>
      </c>
      <c r="T1175">
        <v>1.0209910601200662</v>
      </c>
      <c r="U1175">
        <v>0</v>
      </c>
      <c r="V1175">
        <v>9.8349929206285713E-2</v>
      </c>
      <c r="W1175">
        <v>3.6677348916541411E-2</v>
      </c>
      <c r="X1175">
        <v>6.9863287749840457E-3</v>
      </c>
      <c r="Y1175">
        <v>1.7928406805045743E-3</v>
      </c>
    </row>
    <row r="1176" spans="1:25" x14ac:dyDescent="0.25">
      <c r="A1176" s="1096"/>
      <c r="B1176" s="1455">
        <v>926</v>
      </c>
      <c r="C1176" s="1100">
        <v>1.0043070955223601</v>
      </c>
      <c r="D1176" s="1100">
        <v>1.0001227587413086</v>
      </c>
      <c r="E1176" s="1100">
        <v>0.98709125678415821</v>
      </c>
      <c r="F1176" s="1100">
        <v>1.0123619561898118</v>
      </c>
      <c r="G1176" s="1100">
        <v>1.0096759082315514</v>
      </c>
      <c r="H1176" s="1100">
        <v>1.0131472629067197</v>
      </c>
      <c r="I1176" s="1100">
        <v>0.97104872304525702</v>
      </c>
      <c r="K1176">
        <v>1.327534573346536</v>
      </c>
      <c r="L1176">
        <v>0</v>
      </c>
      <c r="M1176">
        <v>6.2271808134311223E-4</v>
      </c>
      <c r="N1176">
        <v>5.5072204047121653E-2</v>
      </c>
      <c r="O1176">
        <v>7.725126477005061E-3</v>
      </c>
      <c r="P1176">
        <v>1.6244332754641551E-2</v>
      </c>
      <c r="Q1176">
        <v>4.4147956589222972E-4</v>
      </c>
      <c r="R1176">
        <v>6.2090439276074551E-4</v>
      </c>
      <c r="S1176">
        <v>5.8936604858876834E-2</v>
      </c>
      <c r="T1176">
        <v>1.045532514898198</v>
      </c>
      <c r="U1176">
        <v>0</v>
      </c>
      <c r="V1176">
        <v>9.8066717165380707E-2</v>
      </c>
      <c r="W1176">
        <v>3.6458765239212404E-2</v>
      </c>
      <c r="X1176">
        <v>7.3687449527716784E-3</v>
      </c>
      <c r="Y1176">
        <v>1.6898970760166848E-3</v>
      </c>
    </row>
    <row r="1177" spans="1:25" x14ac:dyDescent="0.25">
      <c r="A1177" s="1096"/>
      <c r="B1177" s="1455">
        <v>927</v>
      </c>
      <c r="C1177" s="1100">
        <v>1.0335525928847413</v>
      </c>
      <c r="D1177" s="1100">
        <v>1.0125342209851491</v>
      </c>
      <c r="E1177" s="1100">
        <v>1.0065232679409084</v>
      </c>
      <c r="F1177" s="1100">
        <v>0.99791978122221803</v>
      </c>
      <c r="G1177" s="1100">
        <v>1.0034247692522504</v>
      </c>
      <c r="H1177" s="1100">
        <v>1.0080190775774331</v>
      </c>
      <c r="I1177" s="1100">
        <v>1.027220827575569</v>
      </c>
      <c r="K1177">
        <v>1.3097167626097557</v>
      </c>
      <c r="L1177">
        <v>0</v>
      </c>
      <c r="M1177">
        <v>5.7541644613112687E-4</v>
      </c>
      <c r="N1177">
        <v>5.3965905671165666E-2</v>
      </c>
      <c r="O1177">
        <v>7.4741838081238045E-3</v>
      </c>
      <c r="P1177">
        <v>1.6271690674552548E-2</v>
      </c>
      <c r="Q1177">
        <v>4.3557884265092961E-4</v>
      </c>
      <c r="R1177">
        <v>5.7373199918363282E-4</v>
      </c>
      <c r="S1177">
        <v>6.0047112112793122E-2</v>
      </c>
      <c r="T1177">
        <v>1.0300380939213032</v>
      </c>
      <c r="U1177">
        <v>0</v>
      </c>
      <c r="V1177">
        <v>9.7087650823521485E-2</v>
      </c>
      <c r="W1177">
        <v>3.5315099656692224E-2</v>
      </c>
      <c r="X1177">
        <v>7.5216221748243264E-3</v>
      </c>
      <c r="Y1177">
        <v>1.5615093710751476E-3</v>
      </c>
    </row>
    <row r="1178" spans="1:25" x14ac:dyDescent="0.25">
      <c r="A1178" s="1096"/>
      <c r="B1178" s="1455">
        <v>928</v>
      </c>
      <c r="C1178" s="1100">
        <v>1.0175995167385368</v>
      </c>
      <c r="D1178" s="1100">
        <v>1.0376826214665165</v>
      </c>
      <c r="E1178" s="1100">
        <v>1.0069801768742543</v>
      </c>
      <c r="F1178" s="1100">
        <v>1.0207174914093706</v>
      </c>
      <c r="G1178" s="1100">
        <v>1.0197846916318367</v>
      </c>
      <c r="H1178" s="1100">
        <v>0.98402453418070723</v>
      </c>
      <c r="I1178" s="1100">
        <v>1.0143953836123296</v>
      </c>
      <c r="K1178">
        <v>1.3319362039805249</v>
      </c>
      <c r="L1178">
        <v>0</v>
      </c>
      <c r="M1178">
        <v>5.6441839646324691E-4</v>
      </c>
      <c r="N1178">
        <v>5.3003735658410378E-2</v>
      </c>
      <c r="O1178">
        <v>7.5173333691719657E-3</v>
      </c>
      <c r="P1178">
        <v>1.6597476489458023E-2</v>
      </c>
      <c r="Q1178">
        <v>4.3829400492942502E-4</v>
      </c>
      <c r="R1178">
        <v>5.6272585603029215E-4</v>
      </c>
      <c r="S1178">
        <v>5.8722265699115282E-2</v>
      </c>
      <c r="T1178">
        <v>1.0535557664962771</v>
      </c>
      <c r="U1178">
        <v>0</v>
      </c>
      <c r="V1178">
        <v>9.8255590220807251E-2</v>
      </c>
      <c r="W1178">
        <v>3.4676091036098942E-2</v>
      </c>
      <c r="X1178">
        <v>7.639789269102866E-3</v>
      </c>
      <c r="Y1178">
        <v>1.5315542775858693E-3</v>
      </c>
    </row>
    <row r="1179" spans="1:25" x14ac:dyDescent="0.25">
      <c r="A1179" s="1096"/>
      <c r="B1179" s="1455">
        <v>929</v>
      </c>
      <c r="C1179" s="1100">
        <v>1.0269878774178589</v>
      </c>
      <c r="D1179" s="1100">
        <v>0.97745684455973436</v>
      </c>
      <c r="E1179" s="1100">
        <v>1.035753051737901</v>
      </c>
      <c r="F1179" s="1100">
        <v>0.99692809286552353</v>
      </c>
      <c r="G1179" s="1100">
        <v>0.98812807415567327</v>
      </c>
      <c r="H1179" s="1100">
        <v>0.98133176736687455</v>
      </c>
      <c r="I1179" s="1100">
        <v>1.0013386854475983</v>
      </c>
      <c r="K1179">
        <v>1.3086110998992984</v>
      </c>
      <c r="L1179">
        <v>0</v>
      </c>
      <c r="M1179">
        <v>5.380275468694054E-4</v>
      </c>
      <c r="N1179">
        <v>5.510613012211224E-2</v>
      </c>
      <c r="O1179">
        <v>7.6358672209291684E-3</v>
      </c>
      <c r="P1179">
        <v>1.6578647035839104E-2</v>
      </c>
      <c r="Q1179">
        <v>4.5811411003669636E-4</v>
      </c>
      <c r="R1179">
        <v>5.3640971840417952E-4</v>
      </c>
      <c r="S1179">
        <v>5.9258114803673476E-2</v>
      </c>
      <c r="T1179">
        <v>1.0281654184675773</v>
      </c>
      <c r="U1179">
        <v>0</v>
      </c>
      <c r="V1179">
        <v>9.6533372937998602E-2</v>
      </c>
      <c r="W1179">
        <v>3.5450344287258517E-2</v>
      </c>
      <c r="X1179">
        <v>7.9667783162570664E-3</v>
      </c>
      <c r="Y1179">
        <v>1.4599304260800277E-3</v>
      </c>
    </row>
    <row r="1180" spans="1:25" x14ac:dyDescent="0.25">
      <c r="A1180" s="1096"/>
      <c r="B1180" s="1455">
        <v>930</v>
      </c>
      <c r="C1180" s="1100">
        <v>1.0064736894046766</v>
      </c>
      <c r="D1180" s="1100">
        <v>1.0116612234501967</v>
      </c>
      <c r="E1180" s="1100">
        <v>1.0171478172239437</v>
      </c>
      <c r="F1180" s="1100">
        <v>0.97207676049869796</v>
      </c>
      <c r="G1180" s="1100">
        <v>1.0047312385907965</v>
      </c>
      <c r="H1180" s="1100">
        <v>1.0014549402207382</v>
      </c>
      <c r="I1180" s="1100">
        <v>0.97215680654458991</v>
      </c>
      <c r="K1180">
        <v>1.2841690345662218</v>
      </c>
      <c r="L1180">
        <v>0</v>
      </c>
      <c r="M1180">
        <v>5.7442887182487063E-4</v>
      </c>
      <c r="N1180">
        <v>5.5627998691629904E-2</v>
      </c>
      <c r="O1180">
        <v>7.6805073337457537E-3</v>
      </c>
      <c r="P1180">
        <v>1.6011601953481659E-2</v>
      </c>
      <c r="Q1180">
        <v>4.5237726180232104E-4</v>
      </c>
      <c r="R1180">
        <v>5.7273629392768461E-4</v>
      </c>
      <c r="S1180">
        <v>5.8201463658180963E-2</v>
      </c>
      <c r="T1180">
        <v>1.0030595339505768</v>
      </c>
      <c r="U1180">
        <v>0</v>
      </c>
      <c r="V1180">
        <v>9.7807956448625291E-2</v>
      </c>
      <c r="W1180">
        <v>3.617574217659502E-2</v>
      </c>
      <c r="X1180">
        <v>7.5947462798771348E-3</v>
      </c>
      <c r="Y1180">
        <v>1.5587993896026061E-3</v>
      </c>
    </row>
    <row r="1181" spans="1:25" x14ac:dyDescent="0.25">
      <c r="A1181" s="1096"/>
      <c r="B1181" s="1455">
        <v>931</v>
      </c>
      <c r="C1181" s="1100">
        <v>0.99195676190666648</v>
      </c>
      <c r="D1181" s="1100">
        <v>1.0125164811942349</v>
      </c>
      <c r="E1181" s="1100">
        <v>0.95382636609577098</v>
      </c>
      <c r="F1181" s="1100">
        <v>1.0115342860510421</v>
      </c>
      <c r="G1181" s="1100">
        <v>0.98507545731262502</v>
      </c>
      <c r="H1181" s="1100">
        <v>1.0165826466780761</v>
      </c>
      <c r="I1181" s="1100">
        <v>1.0004189336912066</v>
      </c>
      <c r="K1181">
        <v>1.3271235527606082</v>
      </c>
      <c r="L1181">
        <v>0</v>
      </c>
      <c r="M1181">
        <v>6.7425254400883448E-4</v>
      </c>
      <c r="N1181">
        <v>5.391705470089081E-2</v>
      </c>
      <c r="O1181">
        <v>7.7747201493170151E-3</v>
      </c>
      <c r="P1181">
        <v>1.5854731623341882E-2</v>
      </c>
      <c r="Q1181">
        <v>4.2946477386679221E-4</v>
      </c>
      <c r="R1181">
        <v>6.7229539577520704E-4</v>
      </c>
      <c r="S1181">
        <v>6.1143829788210306E-2</v>
      </c>
      <c r="T1181">
        <v>1.0457090338693251</v>
      </c>
      <c r="U1181">
        <v>0</v>
      </c>
      <c r="V1181">
        <v>9.7147276121367573E-2</v>
      </c>
      <c r="W1181">
        <v>3.6423825030873179E-2</v>
      </c>
      <c r="X1181">
        <v>6.8958074064660009E-3</v>
      </c>
      <c r="Y1181">
        <v>1.8297664451824578E-3</v>
      </c>
    </row>
    <row r="1182" spans="1:25" x14ac:dyDescent="0.25">
      <c r="A1182" s="1096"/>
      <c r="B1182" s="1455">
        <v>932</v>
      </c>
      <c r="C1182" s="1100">
        <v>0.98960194848326077</v>
      </c>
      <c r="D1182" s="1100">
        <v>0.96999787298973084</v>
      </c>
      <c r="E1182" s="1100">
        <v>1.0194141445587932</v>
      </c>
      <c r="F1182" s="1100">
        <v>1.0048120808308243</v>
      </c>
      <c r="G1182" s="1100">
        <v>1.0012803961488415</v>
      </c>
      <c r="H1182" s="1100">
        <v>0.98912076417025274</v>
      </c>
      <c r="I1182" s="1100">
        <v>0.97406889348280434</v>
      </c>
      <c r="K1182">
        <v>1.3234549178883912</v>
      </c>
      <c r="L1182">
        <v>0</v>
      </c>
      <c r="M1182">
        <v>5.8405589412883954E-4</v>
      </c>
      <c r="N1182">
        <v>5.694626387750807E-2</v>
      </c>
      <c r="O1182">
        <v>7.9445393063615789E-3</v>
      </c>
      <c r="P1182">
        <v>1.6537164475543212E-2</v>
      </c>
      <c r="Q1182">
        <v>4.6898504448491683E-4</v>
      </c>
      <c r="R1182">
        <v>5.8231348992382958E-4</v>
      </c>
      <c r="S1182">
        <v>6.0290454918681562E-2</v>
      </c>
      <c r="T1182">
        <v>1.0367716744149043</v>
      </c>
      <c r="U1182">
        <v>0</v>
      </c>
      <c r="V1182">
        <v>9.8063476765089461E-2</v>
      </c>
      <c r="W1182">
        <v>3.6983893572461526E-2</v>
      </c>
      <c r="X1182">
        <v>7.8653425575778649E-3</v>
      </c>
      <c r="Y1182">
        <v>1.5848653599823009E-3</v>
      </c>
    </row>
    <row r="1183" spans="1:25" x14ac:dyDescent="0.25">
      <c r="A1183" s="1096"/>
      <c r="B1183" s="1455">
        <v>933</v>
      </c>
      <c r="C1183" s="1100">
        <v>1.0139385318241854</v>
      </c>
      <c r="D1183" s="1100">
        <v>1.0224082103866186</v>
      </c>
      <c r="E1183" s="1100">
        <v>0.96539510236131953</v>
      </c>
      <c r="F1183" s="1100">
        <v>1.034802933045633</v>
      </c>
      <c r="G1183" s="1100">
        <v>0.99902425161309938</v>
      </c>
      <c r="H1183" s="1100">
        <v>0.98785769398298218</v>
      </c>
      <c r="I1183" s="1100">
        <v>1.0346317983659679</v>
      </c>
      <c r="K1183">
        <v>1.3467505810636078</v>
      </c>
      <c r="L1183">
        <v>0</v>
      </c>
      <c r="M1183">
        <v>6.2346451382540476E-4</v>
      </c>
      <c r="N1183">
        <v>5.1630105613676189E-2</v>
      </c>
      <c r="O1183">
        <v>7.5794034656010622E-3</v>
      </c>
      <c r="P1183">
        <v>1.6307615764402154E-2</v>
      </c>
      <c r="Q1183">
        <v>4.23684784627224E-4</v>
      </c>
      <c r="R1183">
        <v>6.2160216439220977E-4</v>
      </c>
      <c r="S1183">
        <v>6.0667973789397985E-2</v>
      </c>
      <c r="T1183">
        <v>1.0693929958472361</v>
      </c>
      <c r="U1183">
        <v>0</v>
      </c>
      <c r="V1183">
        <v>9.7293262963521615E-2</v>
      </c>
      <c r="W1183">
        <v>3.4632122684227981E-2</v>
      </c>
      <c r="X1183">
        <v>7.1334823199736344E-3</v>
      </c>
      <c r="Y1183">
        <v>1.6917961803771745E-3</v>
      </c>
    </row>
    <row r="1184" spans="1:25" x14ac:dyDescent="0.25">
      <c r="A1184" s="1096"/>
      <c r="B1184" s="1455">
        <v>934</v>
      </c>
      <c r="C1184" s="1100">
        <v>1.0136148389740509</v>
      </c>
      <c r="D1184" s="1100">
        <v>0.95900861544263494</v>
      </c>
      <c r="E1184" s="1100">
        <v>1.0262001292225347</v>
      </c>
      <c r="F1184" s="1100">
        <v>1.0101248292060512</v>
      </c>
      <c r="G1184" s="1100">
        <v>1.0028974782646372</v>
      </c>
      <c r="H1184" s="1100">
        <v>0.96188477606948986</v>
      </c>
      <c r="I1184" s="1100">
        <v>0.97360993580333921</v>
      </c>
      <c r="K1184">
        <v>1.3223372805738929</v>
      </c>
      <c r="L1184">
        <v>0</v>
      </c>
      <c r="M1184">
        <v>5.492378918786863E-4</v>
      </c>
      <c r="N1184">
        <v>5.4654194808989941E-2</v>
      </c>
      <c r="O1184">
        <v>7.7934377173870016E-3</v>
      </c>
      <c r="P1184">
        <v>1.6659359616859933E-2</v>
      </c>
      <c r="Q1184">
        <v>4.6317454406727182E-4</v>
      </c>
      <c r="R1184">
        <v>5.4755296422264658E-4</v>
      </c>
      <c r="S1184">
        <v>5.8390109856261981E-2</v>
      </c>
      <c r="T1184">
        <v>1.0420540144823036</v>
      </c>
      <c r="U1184">
        <v>0</v>
      </c>
      <c r="V1184">
        <v>9.7555856908630417E-2</v>
      </c>
      <c r="W1184">
        <v>3.5354970048999526E-2</v>
      </c>
      <c r="X1184">
        <v>7.9235888502211527E-3</v>
      </c>
      <c r="Y1184">
        <v>1.490258667827899E-3</v>
      </c>
    </row>
    <row r="1185" spans="1:25" x14ac:dyDescent="0.25">
      <c r="A1185" s="1096"/>
      <c r="B1185" s="1455">
        <v>935</v>
      </c>
      <c r="C1185" s="1100">
        <v>1.0013985088626649</v>
      </c>
      <c r="D1185" s="1100">
        <v>0.9947923290410039</v>
      </c>
      <c r="E1185" s="1100">
        <v>1.0094178983224615</v>
      </c>
      <c r="F1185" s="1100">
        <v>0.99422710714212903</v>
      </c>
      <c r="G1185" s="1100">
        <v>1.0002648937996717</v>
      </c>
      <c r="H1185" s="1100">
        <v>0.97792133697001637</v>
      </c>
      <c r="I1185" s="1100">
        <v>0.97389474343412541</v>
      </c>
      <c r="K1185">
        <v>1.3061094828031794</v>
      </c>
      <c r="L1185">
        <v>0</v>
      </c>
      <c r="M1185">
        <v>5.7677061876446132E-4</v>
      </c>
      <c r="N1185">
        <v>5.4562831261867187E-2</v>
      </c>
      <c r="O1185">
        <v>7.7696261711126292E-3</v>
      </c>
      <c r="P1185">
        <v>1.6239319593123989E-2</v>
      </c>
      <c r="Q1185">
        <v>4.5411014381056814E-4</v>
      </c>
      <c r="R1185">
        <v>5.7503024300650395E-4</v>
      </c>
      <c r="S1185">
        <v>5.8423888521096472E-2</v>
      </c>
      <c r="T1185">
        <v>1.0261415912998815</v>
      </c>
      <c r="U1185">
        <v>0</v>
      </c>
      <c r="V1185">
        <v>9.7708024685000019E-2</v>
      </c>
      <c r="W1185">
        <v>3.5644734355699891E-2</v>
      </c>
      <c r="X1185">
        <v>7.6020543845494353E-3</v>
      </c>
      <c r="Y1185">
        <v>1.5650427627950418E-3</v>
      </c>
    </row>
    <row r="1186" spans="1:25" x14ac:dyDescent="0.25">
      <c r="A1186" s="1096"/>
      <c r="B1186" s="1455">
        <v>936</v>
      </c>
      <c r="C1186" s="1100">
        <v>1.0333208018336708</v>
      </c>
      <c r="D1186" s="1100">
        <v>1.0023319849186412</v>
      </c>
      <c r="E1186" s="1100">
        <v>0.98724233588121524</v>
      </c>
      <c r="F1186" s="1100">
        <v>0.95235490066326645</v>
      </c>
      <c r="G1186" s="1100">
        <v>0.98297521878060656</v>
      </c>
      <c r="H1186" s="1100">
        <v>0.98769536609636499</v>
      </c>
      <c r="I1186" s="1100">
        <v>0.99174848440988639</v>
      </c>
      <c r="K1186">
        <v>1.255880932792556</v>
      </c>
      <c r="L1186">
        <v>0</v>
      </c>
      <c r="M1186">
        <v>5.8932401129107356E-4</v>
      </c>
      <c r="N1186">
        <v>5.2138777468479121E-2</v>
      </c>
      <c r="O1186">
        <v>7.5016313385359475E-3</v>
      </c>
      <c r="P1186">
        <v>1.5365250273821464E-2</v>
      </c>
      <c r="Q1186">
        <v>4.2877272291951142E-4</v>
      </c>
      <c r="R1186">
        <v>5.8756335355863467E-4</v>
      </c>
      <c r="S1186">
        <v>5.7688851465532813E-2</v>
      </c>
      <c r="T1186">
        <v>0.98355495966984641</v>
      </c>
      <c r="U1186">
        <v>0</v>
      </c>
      <c r="V1186">
        <v>9.6082567186862727E-2</v>
      </c>
      <c r="W1186">
        <v>3.4513654550761462E-2</v>
      </c>
      <c r="X1186">
        <v>7.0090750153479504E-3</v>
      </c>
      <c r="Y1186">
        <v>1.5991537581791582E-3</v>
      </c>
    </row>
    <row r="1187" spans="1:25" x14ac:dyDescent="0.25">
      <c r="A1187" s="1096"/>
      <c r="B1187" s="1455">
        <v>937</v>
      </c>
      <c r="C1187" s="1100">
        <v>1.0161653695866812</v>
      </c>
      <c r="D1187" s="1100">
        <v>1.0110190868521212</v>
      </c>
      <c r="E1187" s="1100">
        <v>1.0418626774894806</v>
      </c>
      <c r="F1187" s="1100">
        <v>1.0047679514315866</v>
      </c>
      <c r="G1187" s="1100">
        <v>0.98105007726306503</v>
      </c>
      <c r="H1187" s="1100">
        <v>0.99691999102503981</v>
      </c>
      <c r="I1187" s="1100">
        <v>1.002553966690624</v>
      </c>
      <c r="K1187">
        <v>1.318411994311141</v>
      </c>
      <c r="L1187">
        <v>0</v>
      </c>
      <c r="M1187">
        <v>5.3808258101948573E-4</v>
      </c>
      <c r="N1187">
        <v>5.6138196084589448E-2</v>
      </c>
      <c r="O1187">
        <v>7.6151574222772748E-3</v>
      </c>
      <c r="P1187">
        <v>1.6763350465524286E-2</v>
      </c>
      <c r="Q1187">
        <v>4.5962636266803247E-4</v>
      </c>
      <c r="R1187">
        <v>5.3648988664315388E-4</v>
      </c>
      <c r="S1187">
        <v>5.9356756230452085E-2</v>
      </c>
      <c r="T1187">
        <v>1.0360752627803469</v>
      </c>
      <c r="U1187">
        <v>0</v>
      </c>
      <c r="V1187">
        <v>9.6454882106847967E-2</v>
      </c>
      <c r="W1187">
        <v>3.5987309002536536E-2</v>
      </c>
      <c r="X1187">
        <v>8.1028979326736601E-3</v>
      </c>
      <c r="Y1187">
        <v>1.4601486175990633E-3</v>
      </c>
    </row>
    <row r="1188" spans="1:25" x14ac:dyDescent="0.25">
      <c r="A1188" s="1096"/>
      <c r="B1188" s="1455">
        <v>938</v>
      </c>
      <c r="C1188" s="1100">
        <v>0.97431061645184203</v>
      </c>
      <c r="D1188" s="1100">
        <v>0.99934813165596781</v>
      </c>
      <c r="E1188" s="1100">
        <v>1.0001755435495185</v>
      </c>
      <c r="F1188" s="1100">
        <v>1.008708406268443</v>
      </c>
      <c r="G1188" s="1100">
        <v>1.0304587181908957</v>
      </c>
      <c r="H1188" s="1100">
        <v>0.99612160333364275</v>
      </c>
      <c r="I1188" s="1100">
        <v>0.98145691048304073</v>
      </c>
      <c r="K1188">
        <v>1.3298942089911006</v>
      </c>
      <c r="L1188">
        <v>0</v>
      </c>
      <c r="M1188">
        <v>6.1441181736788283E-4</v>
      </c>
      <c r="N1188">
        <v>5.6526845134538498E-2</v>
      </c>
      <c r="O1188">
        <v>7.9687253987935844E-3</v>
      </c>
      <c r="P1188">
        <v>1.6399057941366656E-2</v>
      </c>
      <c r="Q1188">
        <v>4.6145136194087613E-4</v>
      </c>
      <c r="R1188">
        <v>6.1259173509582081E-4</v>
      </c>
      <c r="S1188">
        <v>6.0916867558923123E-2</v>
      </c>
      <c r="T1188">
        <v>1.0413639010417812</v>
      </c>
      <c r="U1188">
        <v>0</v>
      </c>
      <c r="V1188">
        <v>9.9846436747044687E-2</v>
      </c>
      <c r="W1188">
        <v>3.7130420729234115E-2</v>
      </c>
      <c r="X1188">
        <v>7.6150503976309333E-3</v>
      </c>
      <c r="Y1188">
        <v>1.6672727621196226E-3</v>
      </c>
    </row>
    <row r="1189" spans="1:25" x14ac:dyDescent="0.25">
      <c r="A1189" s="1096"/>
      <c r="B1189" s="1455">
        <v>939</v>
      </c>
      <c r="C1189" s="1100">
        <v>0.97076982483668406</v>
      </c>
      <c r="D1189" s="1100">
        <v>0.97882866293059201</v>
      </c>
      <c r="E1189" s="1100">
        <v>0.98468262804112971</v>
      </c>
      <c r="F1189" s="1100">
        <v>0.96768016615902197</v>
      </c>
      <c r="G1189" s="1100">
        <v>1.0071375492922976</v>
      </c>
      <c r="H1189" s="1100">
        <v>1.010983894304486</v>
      </c>
      <c r="I1189" s="1100">
        <v>1.0201121181916357</v>
      </c>
      <c r="K1189">
        <v>1.2913074368965369</v>
      </c>
      <c r="L1189">
        <v>0</v>
      </c>
      <c r="M1189">
        <v>6.5165404345005409E-4</v>
      </c>
      <c r="N1189">
        <v>5.7212605585356721E-2</v>
      </c>
      <c r="O1189">
        <v>8.0604908946571487E-3</v>
      </c>
      <c r="P1189">
        <v>1.5681446488973998E-2</v>
      </c>
      <c r="Q1189">
        <v>4.5952248521011235E-4</v>
      </c>
      <c r="R1189">
        <v>6.4975201645853123E-4</v>
      </c>
      <c r="S1189">
        <v>6.4723723287791329E-2</v>
      </c>
      <c r="T1189">
        <v>0.99945706124022549</v>
      </c>
      <c r="U1189">
        <v>0</v>
      </c>
      <c r="V1189">
        <v>9.8793550731232568E-2</v>
      </c>
      <c r="W1189">
        <v>3.7930617997746427E-2</v>
      </c>
      <c r="X1189">
        <v>7.221909414228944E-3</v>
      </c>
      <c r="Y1189">
        <v>1.7684107981054613E-3</v>
      </c>
    </row>
    <row r="1190" spans="1:25" x14ac:dyDescent="0.25">
      <c r="A1190" s="1096"/>
      <c r="B1190" s="1455">
        <v>940</v>
      </c>
      <c r="C1190" s="1100">
        <v>1.0171939676726067</v>
      </c>
      <c r="D1190" s="1100">
        <v>0.99669897932394758</v>
      </c>
      <c r="E1190" s="1100">
        <v>0.97894626025596232</v>
      </c>
      <c r="F1190" s="1100">
        <v>0.99166217053499128</v>
      </c>
      <c r="G1190" s="1100">
        <v>1.0165251029326114</v>
      </c>
      <c r="H1190" s="1100">
        <v>1.0001244965950808</v>
      </c>
      <c r="I1190" s="1100">
        <v>0.99961837292012523</v>
      </c>
      <c r="K1190">
        <v>1.303643321750483</v>
      </c>
      <c r="L1190">
        <v>0</v>
      </c>
      <c r="M1190">
        <v>6.1808668423436925E-4</v>
      </c>
      <c r="N1190">
        <v>5.3330232455061626E-2</v>
      </c>
      <c r="O1190">
        <v>7.6357631185038806E-3</v>
      </c>
      <c r="P1190">
        <v>1.5869917884552026E-2</v>
      </c>
      <c r="Q1190">
        <v>4.3278096473769355E-4</v>
      </c>
      <c r="R1190">
        <v>6.1626304410219751E-4</v>
      </c>
      <c r="S1190">
        <v>5.9613037518806353E-2</v>
      </c>
      <c r="T1190">
        <v>1.0243990025548602</v>
      </c>
      <c r="U1190">
        <v>0</v>
      </c>
      <c r="V1190">
        <v>9.8076454449332023E-2</v>
      </c>
      <c r="W1190">
        <v>3.5479198256070488E-2</v>
      </c>
      <c r="X1190">
        <v>7.1314933337031875E-3</v>
      </c>
      <c r="Y1190">
        <v>1.6772648549882917E-3</v>
      </c>
    </row>
    <row r="1191" spans="1:25" x14ac:dyDescent="0.25">
      <c r="A1191" s="1096"/>
      <c r="B1191" s="1455">
        <v>941</v>
      </c>
      <c r="C1191" s="1100">
        <v>0.96881863099603294</v>
      </c>
      <c r="D1191" s="1100">
        <v>1.0185868113122902</v>
      </c>
      <c r="E1191" s="1100">
        <v>1.0047339095714602</v>
      </c>
      <c r="F1191" s="1100">
        <v>1.0208007540081101</v>
      </c>
      <c r="G1191" s="1100">
        <v>1.0132365531699983</v>
      </c>
      <c r="H1191" s="1100">
        <v>1.0243152366412989</v>
      </c>
      <c r="I1191" s="1100">
        <v>0.99597755601098681</v>
      </c>
      <c r="K1191">
        <v>1.346229915095893</v>
      </c>
      <c r="L1191">
        <v>0</v>
      </c>
      <c r="M1191">
        <v>6.2461912742413004E-4</v>
      </c>
      <c r="N1191">
        <v>5.8267437890672666E-2</v>
      </c>
      <c r="O1191">
        <v>7.9541530625625006E-3</v>
      </c>
      <c r="P1191">
        <v>1.6634985722270988E-2</v>
      </c>
      <c r="Q1191">
        <v>4.6271996773706122E-4</v>
      </c>
      <c r="R1191">
        <v>6.2281973675213439E-4</v>
      </c>
      <c r="S1191">
        <v>6.2419117889485468E-2</v>
      </c>
      <c r="T1191">
        <v>1.0537095590564309</v>
      </c>
      <c r="U1191">
        <v>0</v>
      </c>
      <c r="V1191">
        <v>9.9162643412227941E-2</v>
      </c>
      <c r="W1191">
        <v>3.8170400096760593E-2</v>
      </c>
      <c r="X1191">
        <v>7.755587377447362E-3</v>
      </c>
      <c r="Y1191">
        <v>1.6951100109682687E-3</v>
      </c>
    </row>
    <row r="1192" spans="1:25" x14ac:dyDescent="0.25">
      <c r="A1192" s="1096"/>
      <c r="B1192" s="1455">
        <v>942</v>
      </c>
      <c r="C1192" s="1100">
        <v>0.97177689455787386</v>
      </c>
      <c r="D1192" s="1100">
        <v>1.0193200016902508</v>
      </c>
      <c r="E1192" s="1100">
        <v>1.0060901050575706</v>
      </c>
      <c r="F1192" s="1100">
        <v>0.98604663761516831</v>
      </c>
      <c r="G1192" s="1100">
        <v>0.99365006237054676</v>
      </c>
      <c r="H1192" s="1100">
        <v>0.99589003239731366</v>
      </c>
      <c r="I1192" s="1100">
        <v>1.0060956709378197</v>
      </c>
      <c r="K1192">
        <v>1.3051571429967463</v>
      </c>
      <c r="L1192">
        <v>0</v>
      </c>
      <c r="M1192">
        <v>6.0356101676463673E-4</v>
      </c>
      <c r="N1192">
        <v>5.6529450372772461E-2</v>
      </c>
      <c r="O1192">
        <v>7.9279973714423552E-3</v>
      </c>
      <c r="P1192">
        <v>1.6139177836035523E-2</v>
      </c>
      <c r="Q1192">
        <v>4.6182566460411731E-4</v>
      </c>
      <c r="R1192">
        <v>6.0177266225502955E-4</v>
      </c>
      <c r="S1192">
        <v>6.1946649265543441E-2</v>
      </c>
      <c r="T1192">
        <v>1.0177954430782339</v>
      </c>
      <c r="U1192">
        <v>0</v>
      </c>
      <c r="V1192">
        <v>9.8138732411592516E-2</v>
      </c>
      <c r="W1192">
        <v>3.7002151974258823E-2</v>
      </c>
      <c r="X1192">
        <v>7.5796765644181047E-3</v>
      </c>
      <c r="Y1192">
        <v>1.6378268123533924E-3</v>
      </c>
    </row>
    <row r="1193" spans="1:25" x14ac:dyDescent="0.25">
      <c r="A1193" s="1096"/>
      <c r="B1193" s="1455">
        <v>943</v>
      </c>
      <c r="C1193" s="1100">
        <v>1.0314205111627119</v>
      </c>
      <c r="D1193" s="1100">
        <v>0.99672084626053903</v>
      </c>
      <c r="E1193" s="1100">
        <v>0.95872099188016779</v>
      </c>
      <c r="F1193" s="1100">
        <v>1.0355613967531578</v>
      </c>
      <c r="G1193" s="1100">
        <v>1.0276196464831127</v>
      </c>
      <c r="H1193" s="1100">
        <v>0.98148316292195337</v>
      </c>
      <c r="I1193" s="1100">
        <v>0.98844383724758722</v>
      </c>
      <c r="K1193">
        <v>1.3437835956340172</v>
      </c>
      <c r="L1193">
        <v>0</v>
      </c>
      <c r="M1193">
        <v>6.2369541673372583E-4</v>
      </c>
      <c r="N1193">
        <v>5.0614368316020196E-2</v>
      </c>
      <c r="O1193">
        <v>7.5255803989883168E-3</v>
      </c>
      <c r="P1193">
        <v>1.6208680627450296E-2</v>
      </c>
      <c r="Q1193">
        <v>4.1780357450005832E-4</v>
      </c>
      <c r="R1193">
        <v>6.2182027751520584E-4</v>
      </c>
      <c r="S1193">
        <v>5.7568167495728656E-2</v>
      </c>
      <c r="T1193">
        <v>1.0703903879310102</v>
      </c>
      <c r="U1193">
        <v>0</v>
      </c>
      <c r="V1193">
        <v>9.8254950335889477E-2</v>
      </c>
      <c r="W1193">
        <v>3.4089861268376521E-2</v>
      </c>
      <c r="X1193">
        <v>7.0232810128738991E-3</v>
      </c>
      <c r="Y1193">
        <v>1.6923898123969979E-3</v>
      </c>
    </row>
    <row r="1194" spans="1:25" x14ac:dyDescent="0.25">
      <c r="A1194" s="1096"/>
      <c r="B1194" s="1455">
        <v>944</v>
      </c>
      <c r="C1194" s="1100">
        <v>1.0065639460504296</v>
      </c>
      <c r="D1194" s="1100">
        <v>0.99722851968766624</v>
      </c>
      <c r="E1194" s="1100">
        <v>0.96627676549497188</v>
      </c>
      <c r="F1194" s="1100">
        <v>1.0051124880712452</v>
      </c>
      <c r="G1194" s="1100">
        <v>0.9774164264039743</v>
      </c>
      <c r="H1194" s="1100">
        <v>0.99886523740471556</v>
      </c>
      <c r="I1194" s="1100">
        <v>1.0261933465157111</v>
      </c>
      <c r="K1194">
        <v>1.3185126906226494</v>
      </c>
      <c r="L1194">
        <v>0</v>
      </c>
      <c r="M1194">
        <v>6.4023057846189404E-4</v>
      </c>
      <c r="N1194">
        <v>5.316205537503961E-2</v>
      </c>
      <c r="O1194">
        <v>7.7116834269504433E-3</v>
      </c>
      <c r="P1194">
        <v>1.5913613920421402E-2</v>
      </c>
      <c r="Q1194">
        <v>4.3146870401426307E-4</v>
      </c>
      <c r="R1194">
        <v>6.3833922224097348E-4</v>
      </c>
      <c r="S1194">
        <v>6.1774727882124729E-2</v>
      </c>
      <c r="T1194">
        <v>1.0386828134168309</v>
      </c>
      <c r="U1194">
        <v>0</v>
      </c>
      <c r="V1194">
        <v>9.6428116645240966E-2</v>
      </c>
      <c r="W1194">
        <v>3.564052087652958E-2</v>
      </c>
      <c r="X1194">
        <v>7.0322327972456291E-3</v>
      </c>
      <c r="Y1194">
        <v>1.7373489344718724E-3</v>
      </c>
    </row>
    <row r="1195" spans="1:25" x14ac:dyDescent="0.25">
      <c r="A1195" s="1096"/>
      <c r="B1195" s="1455">
        <v>945</v>
      </c>
      <c r="C1195" s="1100">
        <v>1.0038012841514978</v>
      </c>
      <c r="D1195" s="1100">
        <v>0.97504686158693199</v>
      </c>
      <c r="E1195" s="1100">
        <v>1.0074084318376173</v>
      </c>
      <c r="F1195" s="1100">
        <v>1.0080345011593241</v>
      </c>
      <c r="G1195" s="1100">
        <v>1.0142657601206289</v>
      </c>
      <c r="H1195" s="1100">
        <v>0.98831510829545155</v>
      </c>
      <c r="I1195" s="1100">
        <v>1.0003764514406055</v>
      </c>
      <c r="K1195">
        <v>1.3251523653974662</v>
      </c>
      <c r="L1195">
        <v>0</v>
      </c>
      <c r="M1195">
        <v>5.88639238863948E-4</v>
      </c>
      <c r="N1195">
        <v>5.5350533842659241E-2</v>
      </c>
      <c r="O1195">
        <v>7.8129395556853793E-3</v>
      </c>
      <c r="P1195">
        <v>1.6452981355751552E-2</v>
      </c>
      <c r="Q1195">
        <v>4.5572451811956474E-4</v>
      </c>
      <c r="R1195">
        <v>5.8688172972163016E-4</v>
      </c>
      <c r="S1195">
        <v>6.0836090810812725E-2</v>
      </c>
      <c r="T1195">
        <v>1.0404519851476526</v>
      </c>
      <c r="U1195">
        <v>0</v>
      </c>
      <c r="V1195">
        <v>9.8323880763590193E-2</v>
      </c>
      <c r="W1195">
        <v>3.6202249159020997E-2</v>
      </c>
      <c r="X1195">
        <v>7.6704391505221878E-3</v>
      </c>
      <c r="Y1195">
        <v>1.5972986027920695E-3</v>
      </c>
    </row>
    <row r="1196" spans="1:25" x14ac:dyDescent="0.25">
      <c r="A1196" s="1096"/>
      <c r="B1196" s="1455">
        <v>946</v>
      </c>
      <c r="C1196" s="1100">
        <v>0.99748356862832166</v>
      </c>
      <c r="D1196" s="1100">
        <v>0.97741168746321283</v>
      </c>
      <c r="E1196" s="1100">
        <v>0.97380938484136315</v>
      </c>
      <c r="F1196" s="1100">
        <v>1.0045073714178561</v>
      </c>
      <c r="G1196" s="1100">
        <v>0.96768590290770029</v>
      </c>
      <c r="H1196" s="1100">
        <v>0.96488754100054541</v>
      </c>
      <c r="I1196" s="1100">
        <v>0.99030055342710055</v>
      </c>
      <c r="K1196">
        <v>1.3146002589053982</v>
      </c>
      <c r="L1196">
        <v>0</v>
      </c>
      <c r="M1196">
        <v>6.1940545043190473E-4</v>
      </c>
      <c r="N1196">
        <v>5.2613886269715526E-2</v>
      </c>
      <c r="O1196">
        <v>7.8464774280151209E-3</v>
      </c>
      <c r="P1196">
        <v>1.5964389273133383E-2</v>
      </c>
      <c r="Q1196">
        <v>4.4240329853877954E-4</v>
      </c>
      <c r="R1196">
        <v>6.1751117929353895E-4</v>
      </c>
      <c r="S1196">
        <v>5.9776694528477885E-2</v>
      </c>
      <c r="T1196">
        <v>1.0378254833815665</v>
      </c>
      <c r="U1196">
        <v>0</v>
      </c>
      <c r="V1196">
        <v>9.6189734437900368E-2</v>
      </c>
      <c r="W1196">
        <v>3.5111683859893057E-2</v>
      </c>
      <c r="X1196">
        <v>7.150738831762966E-3</v>
      </c>
      <c r="Y1196">
        <v>1.6806618675314681E-3</v>
      </c>
    </row>
    <row r="1197" spans="1:25" x14ac:dyDescent="0.25">
      <c r="A1197" s="1096"/>
      <c r="B1197" s="1455">
        <v>947</v>
      </c>
      <c r="C1197" s="1100">
        <v>1.0053484617180155</v>
      </c>
      <c r="D1197" s="1100">
        <v>0.97770004606935201</v>
      </c>
      <c r="E1197" s="1100">
        <v>0.98478363538049607</v>
      </c>
      <c r="F1197" s="1100">
        <v>1.0159159289906721</v>
      </c>
      <c r="G1197" s="1100">
        <v>0.95779843220229721</v>
      </c>
      <c r="H1197" s="1100">
        <v>1.0260555830061553</v>
      </c>
      <c r="I1197" s="1100">
        <v>0.98722810558194352</v>
      </c>
      <c r="K1197">
        <v>1.3326620274472827</v>
      </c>
      <c r="L1197">
        <v>0</v>
      </c>
      <c r="M1197">
        <v>6.3878254016451561E-4</v>
      </c>
      <c r="N1197">
        <v>5.6102087829867496E-2</v>
      </c>
      <c r="O1197">
        <v>7.7868703528283009E-3</v>
      </c>
      <c r="P1197">
        <v>1.6259766195560563E-2</v>
      </c>
      <c r="Q1197">
        <v>4.4396904256026115E-4</v>
      </c>
      <c r="R1197">
        <v>6.3694546905389141E-4</v>
      </c>
      <c r="S1197">
        <v>6.0976352321393118E-2</v>
      </c>
      <c r="T1197">
        <v>1.0492736995797922</v>
      </c>
      <c r="U1197">
        <v>0</v>
      </c>
      <c r="V1197">
        <v>9.5529180049133092E-2</v>
      </c>
      <c r="W1197">
        <v>3.7192110778919756E-2</v>
      </c>
      <c r="X1197">
        <v>7.3662727705902844E-3</v>
      </c>
      <c r="Y1197">
        <v>1.7335555977472496E-3</v>
      </c>
    </row>
    <row r="1198" spans="1:25" x14ac:dyDescent="0.25">
      <c r="A1198" s="1096"/>
      <c r="B1198" s="1455">
        <v>948</v>
      </c>
      <c r="C1198" s="1100">
        <v>1.0152252060130798</v>
      </c>
      <c r="D1198" s="1100">
        <v>0.99380519169584303</v>
      </c>
      <c r="E1198" s="1100">
        <v>1.0175191902520764</v>
      </c>
      <c r="F1198" s="1100">
        <v>0.99531344392691967</v>
      </c>
      <c r="G1198" s="1100">
        <v>1.0128576966400291</v>
      </c>
      <c r="H1198" s="1100">
        <v>0.99393654384791275</v>
      </c>
      <c r="I1198" s="1100">
        <v>0.99557127646865873</v>
      </c>
      <c r="K1198">
        <v>1.309186531407494</v>
      </c>
      <c r="L1198">
        <v>0</v>
      </c>
      <c r="M1198">
        <v>5.6880267726801845E-4</v>
      </c>
      <c r="N1198">
        <v>5.5143681479392789E-2</v>
      </c>
      <c r="O1198">
        <v>7.6688208286089929E-3</v>
      </c>
      <c r="P1198">
        <v>1.6366617637553205E-2</v>
      </c>
      <c r="Q1198">
        <v>4.5185597235797558E-4</v>
      </c>
      <c r="R1198">
        <v>5.6711399947690418E-4</v>
      </c>
      <c r="S1198">
        <v>5.9430938744080043E-2</v>
      </c>
      <c r="T1198">
        <v>1.0270260229786428</v>
      </c>
      <c r="U1198">
        <v>0</v>
      </c>
      <c r="V1198">
        <v>9.7989230790802045E-2</v>
      </c>
      <c r="W1198">
        <v>3.5852976167736403E-2</v>
      </c>
      <c r="X1198">
        <v>7.7145781286150636E-3</v>
      </c>
      <c r="Y1198">
        <v>1.5434973574964496E-3</v>
      </c>
    </row>
    <row r="1199" spans="1:25" x14ac:dyDescent="0.25">
      <c r="A1199" s="1096"/>
      <c r="B1199" s="1455">
        <v>949</v>
      </c>
      <c r="C1199" s="1100">
        <v>1.0130646738900704</v>
      </c>
      <c r="D1199" s="1100">
        <v>0.99442751124361295</v>
      </c>
      <c r="E1199" s="1100">
        <v>1.0199683009339342</v>
      </c>
      <c r="F1199" s="1100">
        <v>0.99360781448430324</v>
      </c>
      <c r="G1199" s="1100">
        <v>1.0353524131599037</v>
      </c>
      <c r="H1199" s="1100">
        <v>0.9623881160338299</v>
      </c>
      <c r="I1199" s="1100">
        <v>0.97533670021161256</v>
      </c>
      <c r="K1199">
        <v>1.3038537387786102</v>
      </c>
      <c r="L1199">
        <v>0</v>
      </c>
      <c r="M1199">
        <v>5.4898066715815058E-4</v>
      </c>
      <c r="N1199">
        <v>5.3611484682389535E-2</v>
      </c>
      <c r="O1199">
        <v>7.6838482291231554E-3</v>
      </c>
      <c r="P1199">
        <v>1.6358413176373477E-2</v>
      </c>
      <c r="Q1199">
        <v>4.5384583274703005E-4</v>
      </c>
      <c r="R1199">
        <v>5.4729740942838266E-4</v>
      </c>
      <c r="S1199">
        <v>5.7400064777715601E-2</v>
      </c>
      <c r="T1199">
        <v>1.0251949721733795</v>
      </c>
      <c r="U1199">
        <v>0</v>
      </c>
      <c r="V1199">
        <v>9.9132426928003142E-2</v>
      </c>
      <c r="W1199">
        <v>3.4806823557718268E-2</v>
      </c>
      <c r="X1199">
        <v>7.7239795469673548E-3</v>
      </c>
      <c r="Y1199">
        <v>1.4895631319215275E-3</v>
      </c>
    </row>
    <row r="1200" spans="1:25" x14ac:dyDescent="0.25">
      <c r="A1200" s="1096"/>
      <c r="B1200" s="1455">
        <v>950</v>
      </c>
      <c r="C1200" s="1100">
        <v>1.0088182958392622</v>
      </c>
      <c r="D1200" s="1100">
        <v>0.98615447425876968</v>
      </c>
      <c r="E1200" s="1100">
        <v>0.99386433302327037</v>
      </c>
      <c r="F1200" s="1100">
        <v>0.96569570300309215</v>
      </c>
      <c r="G1200" s="1100">
        <v>1.00794348209603</v>
      </c>
      <c r="H1200" s="1100">
        <v>0.98287871936960103</v>
      </c>
      <c r="I1200" s="1100">
        <v>0.9592936856012515</v>
      </c>
      <c r="K1200">
        <v>1.2745386972892876</v>
      </c>
      <c r="L1200">
        <v>0</v>
      </c>
      <c r="M1200">
        <v>5.9638023257425562E-4</v>
      </c>
      <c r="N1200">
        <v>5.3829247268052313E-2</v>
      </c>
      <c r="O1200">
        <v>7.735625526881262E-3</v>
      </c>
      <c r="P1200">
        <v>1.5648620800828392E-2</v>
      </c>
      <c r="Q1200">
        <v>4.4511562229657755E-4</v>
      </c>
      <c r="R1200">
        <v>5.9458976225420905E-4</v>
      </c>
      <c r="S1200">
        <v>5.7523779058994778E-2</v>
      </c>
      <c r="T1200">
        <v>0.99714067399508677</v>
      </c>
      <c r="U1200">
        <v>0</v>
      </c>
      <c r="V1200">
        <v>9.7880111946259646E-2</v>
      </c>
      <c r="W1200">
        <v>3.5491661048279173E-2</v>
      </c>
      <c r="X1200">
        <v>7.227375166535494E-3</v>
      </c>
      <c r="Y1200">
        <v>1.6182773263935084E-3</v>
      </c>
    </row>
    <row r="1201" spans="1:25" x14ac:dyDescent="0.25">
      <c r="A1201" s="1096"/>
      <c r="B1201" s="1455">
        <v>951</v>
      </c>
      <c r="C1201" s="1100">
        <v>1.0019628547038355</v>
      </c>
      <c r="D1201" s="1100">
        <v>1.012996277245243</v>
      </c>
      <c r="E1201" s="1100">
        <v>0.98751491806170399</v>
      </c>
      <c r="F1201" s="1100">
        <v>1.0328655934296387</v>
      </c>
      <c r="G1201" s="1100">
        <v>1.0070011930256397</v>
      </c>
      <c r="H1201" s="1100">
        <v>0.97437598071239107</v>
      </c>
      <c r="I1201" s="1100">
        <v>1.0111072218734858</v>
      </c>
      <c r="K1201">
        <v>1.3461673961499487</v>
      </c>
      <c r="L1201">
        <v>0</v>
      </c>
      <c r="M1201">
        <v>5.9670223288912992E-4</v>
      </c>
      <c r="N1201">
        <v>5.28329142459458E-2</v>
      </c>
      <c r="O1201">
        <v>7.7037911738157844E-3</v>
      </c>
      <c r="P1201">
        <v>1.6547581540378987E-2</v>
      </c>
      <c r="Q1201">
        <v>4.404491370349984E-4</v>
      </c>
      <c r="R1201">
        <v>5.9489516315684352E-4</v>
      </c>
      <c r="S1201">
        <v>5.9903946118401018E-2</v>
      </c>
      <c r="T1201">
        <v>1.0666947737045291</v>
      </c>
      <c r="U1201">
        <v>0</v>
      </c>
      <c r="V1201">
        <v>9.7995527283173345E-2</v>
      </c>
      <c r="W1201">
        <v>3.496742132338377E-2</v>
      </c>
      <c r="X1201">
        <v>7.4636901660417344E-3</v>
      </c>
      <c r="Y1201">
        <v>1.6191085269750983E-3</v>
      </c>
    </row>
    <row r="1202" spans="1:25" x14ac:dyDescent="0.25">
      <c r="A1202" s="1096"/>
      <c r="B1202" s="1455">
        <v>952</v>
      </c>
      <c r="C1202" s="1100">
        <v>0.97295077310837519</v>
      </c>
      <c r="D1202" s="1100">
        <v>1.0432059018499491</v>
      </c>
      <c r="E1202" s="1100">
        <v>0.99395004277260091</v>
      </c>
      <c r="F1202" s="1100">
        <v>1.0056781059377802</v>
      </c>
      <c r="G1202" s="1100">
        <v>0.97955956076901207</v>
      </c>
      <c r="H1202" s="1100">
        <v>1.0027287161146932</v>
      </c>
      <c r="I1202" s="1100">
        <v>1.0088460049569556</v>
      </c>
      <c r="K1202">
        <v>1.3233988409439301</v>
      </c>
      <c r="L1202">
        <v>0</v>
      </c>
      <c r="M1202">
        <v>6.1671096375029628E-4</v>
      </c>
      <c r="N1202">
        <v>5.5682039480240433E-2</v>
      </c>
      <c r="O1202">
        <v>7.8423940886838562E-3</v>
      </c>
      <c r="P1202">
        <v>1.625747597600196E-2</v>
      </c>
      <c r="Q1202">
        <v>4.5129820277372765E-4</v>
      </c>
      <c r="R1202">
        <v>6.1489610832019675E-4</v>
      </c>
      <c r="S1202">
        <v>6.1476812269245444E-2</v>
      </c>
      <c r="T1202">
        <v>1.0384224021097308</v>
      </c>
      <c r="U1202">
        <v>0</v>
      </c>
      <c r="V1202">
        <v>9.7412675756339245E-2</v>
      </c>
      <c r="W1202">
        <v>3.671139791959372E-2</v>
      </c>
      <c r="X1202">
        <v>7.4706154903498405E-3</v>
      </c>
      <c r="Y1202">
        <v>1.6735445063999442E-3</v>
      </c>
    </row>
    <row r="1203" spans="1:25" x14ac:dyDescent="0.25">
      <c r="A1203" s="1096"/>
      <c r="B1203" s="1455">
        <v>953</v>
      </c>
      <c r="C1203" s="1100">
        <v>0.96236366392568007</v>
      </c>
      <c r="D1203" s="1100">
        <v>0.98901912436622386</v>
      </c>
      <c r="E1203" s="1100">
        <v>0.9870061462472246</v>
      </c>
      <c r="F1203" s="1100">
        <v>1.0307441931698376</v>
      </c>
      <c r="G1203" s="1100">
        <v>0.99419499170281878</v>
      </c>
      <c r="H1203" s="1100">
        <v>0.99564640108668301</v>
      </c>
      <c r="I1203" s="1100">
        <v>0.95648482916995081</v>
      </c>
      <c r="K1203">
        <v>1.3519731936129076</v>
      </c>
      <c r="L1203">
        <v>0</v>
      </c>
      <c r="M1203">
        <v>6.4160436302028716E-4</v>
      </c>
      <c r="N1203">
        <v>5.6724961711211427E-2</v>
      </c>
      <c r="O1203">
        <v>8.0978773339549E-3</v>
      </c>
      <c r="P1203">
        <v>1.6524100329211294E-2</v>
      </c>
      <c r="Q1203">
        <v>4.6274185151022861E-4</v>
      </c>
      <c r="R1203">
        <v>6.3970282068580092E-4</v>
      </c>
      <c r="S1203">
        <v>6.0412720241319849E-2</v>
      </c>
      <c r="T1203">
        <v>1.0645197004278626</v>
      </c>
      <c r="U1203">
        <v>0</v>
      </c>
      <c r="V1203">
        <v>9.8393042523054572E-2</v>
      </c>
      <c r="W1203">
        <v>3.7554839021571321E-2</v>
      </c>
      <c r="X1203">
        <v>7.5440515156168187E-3</v>
      </c>
      <c r="Y1203">
        <v>1.7410601999285861E-3</v>
      </c>
    </row>
    <row r="1204" spans="1:25" x14ac:dyDescent="0.25">
      <c r="A1204" s="1096"/>
      <c r="B1204" s="1455">
        <v>954</v>
      </c>
      <c r="C1204" s="1100">
        <v>0.99420765691892732</v>
      </c>
      <c r="D1204" s="1100">
        <v>1.0277403660488225</v>
      </c>
      <c r="E1204" s="1100">
        <v>0.99533180136777444</v>
      </c>
      <c r="F1204" s="1100">
        <v>0.99943792352327976</v>
      </c>
      <c r="G1204" s="1100">
        <v>0.98910221604525517</v>
      </c>
      <c r="H1204" s="1100">
        <v>1.020450820446861</v>
      </c>
      <c r="I1204" s="1100">
        <v>1.0028921517824847</v>
      </c>
      <c r="K1204">
        <v>1.3162079443747996</v>
      </c>
      <c r="L1204">
        <v>0</v>
      </c>
      <c r="M1204">
        <v>6.1610534483630907E-4</v>
      </c>
      <c r="N1204">
        <v>5.5863020871033071E-2</v>
      </c>
      <c r="O1204">
        <v>7.7210442226142246E-3</v>
      </c>
      <c r="P1204">
        <v>1.6176265502363927E-2</v>
      </c>
      <c r="Q1204">
        <v>4.4493438815801102E-4</v>
      </c>
      <c r="R1204">
        <v>6.1432375914692583E-4</v>
      </c>
      <c r="S1204">
        <v>6.0828517778048118E-2</v>
      </c>
      <c r="T1204">
        <v>1.0319377172194237</v>
      </c>
      <c r="U1204">
        <v>0</v>
      </c>
      <c r="V1204">
        <v>9.7331283731531534E-2</v>
      </c>
      <c r="W1204">
        <v>3.6800356983054838E-2</v>
      </c>
      <c r="X1204">
        <v>7.4345985036361958E-3</v>
      </c>
      <c r="Y1204">
        <v>1.6719867606251556E-3</v>
      </c>
    </row>
    <row r="1205" spans="1:25" x14ac:dyDescent="0.25">
      <c r="A1205" s="1096"/>
      <c r="B1205" s="1455">
        <v>955</v>
      </c>
      <c r="C1205" s="1100">
        <v>1.0027659891687253</v>
      </c>
      <c r="D1205" s="1100">
        <v>0.97618591335744875</v>
      </c>
      <c r="E1205" s="1100">
        <v>1.0050116023132525</v>
      </c>
      <c r="F1205" s="1100">
        <v>0.95925533195923629</v>
      </c>
      <c r="G1205" s="1100">
        <v>0.9942996840728856</v>
      </c>
      <c r="H1205" s="1100">
        <v>1.0299083892488303</v>
      </c>
      <c r="I1205" s="1100">
        <v>1.0121216949001526</v>
      </c>
      <c r="K1205">
        <v>1.2788433969182691</v>
      </c>
      <c r="L1205">
        <v>0</v>
      </c>
      <c r="M1205">
        <v>6.1682076079676794E-4</v>
      </c>
      <c r="N1205">
        <v>5.7589150035365168E-2</v>
      </c>
      <c r="O1205">
        <v>7.8167613257374979E-3</v>
      </c>
      <c r="P1205">
        <v>1.5750329322608416E-2</v>
      </c>
      <c r="Q1205">
        <v>4.5485403054015372E-4</v>
      </c>
      <c r="R1205">
        <v>6.1505348550655863E-4</v>
      </c>
      <c r="S1205">
        <v>6.2867273096294543E-2</v>
      </c>
      <c r="T1205">
        <v>0.99017213168119877</v>
      </c>
      <c r="U1205">
        <v>0</v>
      </c>
      <c r="V1205">
        <v>9.7380755647980405E-2</v>
      </c>
      <c r="W1205">
        <v>3.771985858375726E-2</v>
      </c>
      <c r="X1205">
        <v>7.4200776348546374E-3</v>
      </c>
      <c r="Y1205">
        <v>1.6739728352218456E-3</v>
      </c>
    </row>
    <row r="1206" spans="1:25" x14ac:dyDescent="0.25">
      <c r="A1206" s="1096"/>
      <c r="B1206" s="1455">
        <v>956</v>
      </c>
      <c r="C1206" s="1100">
        <v>0.99871241014423062</v>
      </c>
      <c r="D1206" s="1100">
        <v>1.0195476101760499</v>
      </c>
      <c r="E1206" s="1100">
        <v>1.0187744942352566</v>
      </c>
      <c r="F1206" s="1100">
        <v>0.99113740033914621</v>
      </c>
      <c r="G1206" s="1100">
        <v>1.0142101594528101</v>
      </c>
      <c r="H1206" s="1100">
        <v>1.0014611226247765</v>
      </c>
      <c r="I1206" s="1100">
        <v>1.0110255252738907</v>
      </c>
      <c r="K1206">
        <v>1.3080399191543353</v>
      </c>
      <c r="L1206">
        <v>0</v>
      </c>
      <c r="M1206">
        <v>5.751518383140694E-4</v>
      </c>
      <c r="N1206">
        <v>5.5972053686758436E-2</v>
      </c>
      <c r="O1206">
        <v>7.7165880474845744E-3</v>
      </c>
      <c r="P1206">
        <v>1.6346338008348147E-2</v>
      </c>
      <c r="Q1206">
        <v>4.5523881474598412E-4</v>
      </c>
      <c r="R1206">
        <v>5.734571406289747E-4</v>
      </c>
      <c r="S1206">
        <v>6.0747380833611475E-2</v>
      </c>
      <c r="T1206">
        <v>1.0226805605245155</v>
      </c>
      <c r="U1206">
        <v>0</v>
      </c>
      <c r="V1206">
        <v>9.8459815214301874E-2</v>
      </c>
      <c r="W1206">
        <v>3.6364806251194502E-2</v>
      </c>
      <c r="X1206">
        <v>7.73807117436254E-3</v>
      </c>
      <c r="Y1206">
        <v>1.5607612966964668E-3</v>
      </c>
    </row>
    <row r="1207" spans="1:25" x14ac:dyDescent="0.25">
      <c r="A1207" s="1096"/>
      <c r="B1207" s="1455">
        <v>957</v>
      </c>
      <c r="C1207" s="1100">
        <v>1.0060948822469058</v>
      </c>
      <c r="D1207" s="1100">
        <v>1.0052519499347732</v>
      </c>
      <c r="E1207" s="1100">
        <v>0.99173004613361437</v>
      </c>
      <c r="F1207" s="1100">
        <v>1.0025483380469027</v>
      </c>
      <c r="G1207" s="1100">
        <v>0.98490726669429129</v>
      </c>
      <c r="H1207" s="1100">
        <v>1.0058514383818484</v>
      </c>
      <c r="I1207" s="1100">
        <v>0.97158545235489546</v>
      </c>
      <c r="K1207">
        <v>1.3147082014738762</v>
      </c>
      <c r="L1207">
        <v>0</v>
      </c>
      <c r="M1207">
        <v>6.0998576971679254E-4</v>
      </c>
      <c r="N1207">
        <v>5.4706982847721311E-2</v>
      </c>
      <c r="O1207">
        <v>7.6967640097696478E-3</v>
      </c>
      <c r="P1207">
        <v>1.6139126587749669E-2</v>
      </c>
      <c r="Q1207">
        <v>4.4192659189975266E-4</v>
      </c>
      <c r="R1207">
        <v>6.0819627804898605E-4</v>
      </c>
      <c r="S1207">
        <v>5.8493133367626217E-2</v>
      </c>
      <c r="T1207">
        <v>1.0352574529283314</v>
      </c>
      <c r="U1207">
        <v>0</v>
      </c>
      <c r="V1207">
        <v>9.6829869928041504E-2</v>
      </c>
      <c r="W1207">
        <v>3.6116431245037751E-2</v>
      </c>
      <c r="X1207">
        <v>7.3729936823674668E-3</v>
      </c>
      <c r="Y1207">
        <v>1.6553097770001645E-3</v>
      </c>
    </row>
    <row r="1208" spans="1:25" x14ac:dyDescent="0.25">
      <c r="A1208" s="1096"/>
      <c r="B1208" s="1455">
        <v>958</v>
      </c>
      <c r="C1208" s="1100">
        <v>0.96884106802320302</v>
      </c>
      <c r="D1208" s="1100">
        <v>1.0273901714414138</v>
      </c>
      <c r="E1208" s="1100">
        <v>1.0154403341905092</v>
      </c>
      <c r="F1208" s="1100">
        <v>0.99295116842383246</v>
      </c>
      <c r="G1208" s="1100">
        <v>0.99642370583204376</v>
      </c>
      <c r="H1208" s="1100">
        <v>1.0220625927713873</v>
      </c>
      <c r="I1208" s="1100">
        <v>0.99806202378810893</v>
      </c>
      <c r="K1208">
        <v>1.3160000121892494</v>
      </c>
      <c r="L1208">
        <v>0</v>
      </c>
      <c r="M1208">
        <v>6.0742709208561941E-4</v>
      </c>
      <c r="N1208">
        <v>5.8524741652282761E-2</v>
      </c>
      <c r="O1208">
        <v>7.9293242072535387E-3</v>
      </c>
      <c r="P1208">
        <v>1.6352212009113819E-2</v>
      </c>
      <c r="Q1208">
        <v>4.6623870147125034E-4</v>
      </c>
      <c r="R1208">
        <v>6.0567337116435569E-4</v>
      </c>
      <c r="S1208">
        <v>6.2202164634653168E-2</v>
      </c>
      <c r="T1208">
        <v>1.0246489109483261</v>
      </c>
      <c r="U1208">
        <v>0</v>
      </c>
      <c r="V1208">
        <v>9.8360793284483661E-2</v>
      </c>
      <c r="W1208">
        <v>3.8097688998069403E-2</v>
      </c>
      <c r="X1208">
        <v>7.7712482183820005E-3</v>
      </c>
      <c r="Y1208">
        <v>1.6484432561362315E-3</v>
      </c>
    </row>
    <row r="1209" spans="1:25" x14ac:dyDescent="0.25">
      <c r="A1209" s="1096"/>
      <c r="B1209" s="1455">
        <v>959</v>
      </c>
      <c r="C1209" s="1100">
        <v>0.98734209515153981</v>
      </c>
      <c r="D1209" s="1100">
        <v>0.99010711380783734</v>
      </c>
      <c r="E1209" s="1100">
        <v>0.96907931645567302</v>
      </c>
      <c r="F1209" s="1100">
        <v>1.0006931687651588</v>
      </c>
      <c r="G1209" s="1100">
        <v>1.0356208931428692</v>
      </c>
      <c r="H1209" s="1100">
        <v>1.0032989896270612</v>
      </c>
      <c r="I1209" s="1100">
        <v>0.9795281026876389</v>
      </c>
      <c r="K1209">
        <v>1.3187253431712775</v>
      </c>
      <c r="L1209">
        <v>0</v>
      </c>
      <c r="M1209">
        <v>6.536824598208493E-4</v>
      </c>
      <c r="N1209">
        <v>5.4742400633989739E-2</v>
      </c>
      <c r="O1209">
        <v>7.8850825089315235E-3</v>
      </c>
      <c r="P1209">
        <v>1.5912649934318963E-2</v>
      </c>
      <c r="Q1209">
        <v>4.4243753620991903E-4</v>
      </c>
      <c r="R1209">
        <v>6.517598981700749E-4</v>
      </c>
      <c r="S1209">
        <v>6.0482657346939521E-2</v>
      </c>
      <c r="T1209">
        <v>1.0340297013600979</v>
      </c>
      <c r="U1209">
        <v>0</v>
      </c>
      <c r="V1209">
        <v>9.9725453984117973E-2</v>
      </c>
      <c r="W1209">
        <v>3.6637342348737917E-2</v>
      </c>
      <c r="X1209">
        <v>7.0956644893568161E-3</v>
      </c>
      <c r="Y1209">
        <v>1.7738755902262549E-3</v>
      </c>
    </row>
    <row r="1210" spans="1:25" x14ac:dyDescent="0.25">
      <c r="A1210" s="1096"/>
      <c r="B1210" s="1455">
        <v>960</v>
      </c>
      <c r="C1210" s="1100">
        <v>0.97809858137475125</v>
      </c>
      <c r="D1210" s="1100">
        <v>1.0109918702911496</v>
      </c>
      <c r="E1210" s="1100">
        <v>1.0004283731491102</v>
      </c>
      <c r="F1210" s="1100">
        <v>0.99304680760510788</v>
      </c>
      <c r="G1210" s="1100">
        <v>1.0069463924884337</v>
      </c>
      <c r="H1210" s="1100">
        <v>1.0184870017358434</v>
      </c>
      <c r="I1210" s="1100">
        <v>0.9718887835504848</v>
      </c>
      <c r="K1210">
        <v>1.3128935393448435</v>
      </c>
      <c r="L1210">
        <v>0</v>
      </c>
      <c r="M1210">
        <v>6.2255450434845296E-4</v>
      </c>
      <c r="N1210">
        <v>5.7323490963037044E-2</v>
      </c>
      <c r="O1210">
        <v>7.9012316816975455E-3</v>
      </c>
      <c r="P1210">
        <v>1.6157437581651092E-2</v>
      </c>
      <c r="Q1210">
        <v>4.5765922409961789E-4</v>
      </c>
      <c r="R1210">
        <v>6.2075079852563027E-4</v>
      </c>
      <c r="S1210">
        <v>6.039300324835882E-2</v>
      </c>
      <c r="T1210">
        <v>1.0251878095674098</v>
      </c>
      <c r="U1210">
        <v>0</v>
      </c>
      <c r="V1210">
        <v>9.8610757870130711E-2</v>
      </c>
      <c r="W1210">
        <v>3.7648051911446358E-2</v>
      </c>
      <c r="X1210">
        <v>7.5264219596925617E-3</v>
      </c>
      <c r="Y1210">
        <v>1.689479043141027E-3</v>
      </c>
    </row>
    <row r="1211" spans="1:25" x14ac:dyDescent="0.25">
      <c r="A1211" s="1096"/>
      <c r="B1211" s="1455">
        <v>961</v>
      </c>
      <c r="C1211" s="1100">
        <v>1.0047503302504959</v>
      </c>
      <c r="D1211" s="1100">
        <v>1.0269527044279394</v>
      </c>
      <c r="E1211" s="1100">
        <v>1.0229023004787228</v>
      </c>
      <c r="F1211" s="1100">
        <v>0.95941866548070742</v>
      </c>
      <c r="G1211" s="1100">
        <v>0.96535171433354805</v>
      </c>
      <c r="H1211" s="1100">
        <v>1.0269465850016943</v>
      </c>
      <c r="I1211" s="1100">
        <v>0.98283689820096198</v>
      </c>
      <c r="K1211">
        <v>1.2723209912530093</v>
      </c>
      <c r="L1211">
        <v>0</v>
      </c>
      <c r="M1211">
        <v>5.7955005078864496E-4</v>
      </c>
      <c r="N1211">
        <v>5.7110943318618615E-2</v>
      </c>
      <c r="O1211">
        <v>7.6490459381653945E-3</v>
      </c>
      <c r="P1211">
        <v>1.5884348069772236E-2</v>
      </c>
      <c r="Q1211">
        <v>4.5310890875682985E-4</v>
      </c>
      <c r="R1211">
        <v>5.7788477214863851E-4</v>
      </c>
      <c r="S1211">
        <v>5.9229083302820944E-2</v>
      </c>
      <c r="T1211">
        <v>0.98983694286282453</v>
      </c>
      <c r="U1211">
        <v>0</v>
      </c>
      <c r="V1211">
        <v>9.5951322811096029E-2</v>
      </c>
      <c r="W1211">
        <v>3.7015297577941746E-2</v>
      </c>
      <c r="X1211">
        <v>7.6197518915270936E-3</v>
      </c>
      <c r="Y1211">
        <v>1.5728118501246527E-3</v>
      </c>
    </row>
    <row r="1212" spans="1:25" x14ac:dyDescent="0.25">
      <c r="A1212" s="1096"/>
      <c r="B1212" s="1455">
        <v>962</v>
      </c>
      <c r="C1212" s="1100">
        <v>1.0010487420670944</v>
      </c>
      <c r="D1212" s="1100">
        <v>1.0067843827727414</v>
      </c>
      <c r="E1212" s="1100">
        <v>1.0159444902426911</v>
      </c>
      <c r="F1212" s="1100">
        <v>0.99720236728229816</v>
      </c>
      <c r="G1212" s="1100">
        <v>0.97406788992228366</v>
      </c>
      <c r="H1212" s="1100">
        <v>1.018988990872802</v>
      </c>
      <c r="I1212" s="1100">
        <v>0.97468537859995596</v>
      </c>
      <c r="K1212">
        <v>1.3127107258800705</v>
      </c>
      <c r="L1212">
        <v>0</v>
      </c>
      <c r="M1212">
        <v>5.9026601312442612E-4</v>
      </c>
      <c r="N1212">
        <v>5.6957388935535619E-2</v>
      </c>
      <c r="O1212">
        <v>7.7367756445425751E-3</v>
      </c>
      <c r="P1212">
        <v>1.6352802611186809E-2</v>
      </c>
      <c r="Q1212">
        <v>4.5514558611535119E-4</v>
      </c>
      <c r="R1212">
        <v>5.8855669812288704E-4</v>
      </c>
      <c r="S1212">
        <v>5.9340110219049204E-2</v>
      </c>
      <c r="T1212">
        <v>1.0290210900671386</v>
      </c>
      <c r="U1212">
        <v>0</v>
      </c>
      <c r="V1212">
        <v>9.6456526797755779E-2</v>
      </c>
      <c r="W1212">
        <v>3.7066421968525338E-2</v>
      </c>
      <c r="X1212">
        <v>7.7243160505954351E-3</v>
      </c>
      <c r="Y1212">
        <v>1.601857314627106E-3</v>
      </c>
    </row>
    <row r="1213" spans="1:25" x14ac:dyDescent="0.25">
      <c r="A1213" s="1096"/>
      <c r="B1213" s="1455">
        <v>963</v>
      </c>
      <c r="C1213" s="1100">
        <v>0.98930403903557906</v>
      </c>
      <c r="D1213" s="1100">
        <v>0.96869638512386957</v>
      </c>
      <c r="E1213" s="1100">
        <v>0.99649124228729735</v>
      </c>
      <c r="F1213" s="1100">
        <v>0.9965196212391495</v>
      </c>
      <c r="G1213" s="1100">
        <v>1.0196198481581142</v>
      </c>
      <c r="H1213" s="1100">
        <v>0.99019673433889766</v>
      </c>
      <c r="I1213" s="1100">
        <v>1.0189143868267574</v>
      </c>
      <c r="K1213">
        <v>1.3173266019693077</v>
      </c>
      <c r="L1213">
        <v>0</v>
      </c>
      <c r="M1213">
        <v>6.1371420159199083E-4</v>
      </c>
      <c r="N1213">
        <v>5.5836589843203964E-2</v>
      </c>
      <c r="O1213">
        <v>7.9454330375625278E-3</v>
      </c>
      <c r="P1213">
        <v>1.6202133513989355E-2</v>
      </c>
      <c r="Q1213">
        <v>4.5840020039834834E-4</v>
      </c>
      <c r="R1213">
        <v>6.1188530773237122E-4</v>
      </c>
      <c r="S1213">
        <v>6.3141676963461055E-2</v>
      </c>
      <c r="T1213">
        <v>1.0288899857755385</v>
      </c>
      <c r="U1213">
        <v>0</v>
      </c>
      <c r="V1213">
        <v>9.8932435881995323E-2</v>
      </c>
      <c r="W1213">
        <v>3.6757524639564568E-2</v>
      </c>
      <c r="X1213">
        <v>7.4989009077412027E-3</v>
      </c>
      <c r="Y1213">
        <v>1.6653500997100309E-3</v>
      </c>
    </row>
    <row r="1214" spans="1:25" x14ac:dyDescent="0.25">
      <c r="A1214" s="1096"/>
      <c r="B1214" s="1455">
        <v>964</v>
      </c>
      <c r="C1214" s="1100">
        <v>1.0281584415032772</v>
      </c>
      <c r="D1214" s="1100">
        <v>1.0115072256017066</v>
      </c>
      <c r="E1214" s="1100">
        <v>1.0208374694153532</v>
      </c>
      <c r="F1214" s="1100">
        <v>0.98669558264088997</v>
      </c>
      <c r="G1214" s="1100">
        <v>1.004908536077006</v>
      </c>
      <c r="H1214" s="1100">
        <v>0.96513688151482335</v>
      </c>
      <c r="I1214" s="1100">
        <v>0.99533402336448129</v>
      </c>
      <c r="K1214">
        <v>1.2927556607851429</v>
      </c>
      <c r="L1214">
        <v>0</v>
      </c>
      <c r="M1214">
        <v>5.3781021583771749E-4</v>
      </c>
      <c r="N1214">
        <v>5.2658970288034776E-2</v>
      </c>
      <c r="O1214">
        <v>7.5198560629647993E-3</v>
      </c>
      <c r="P1214">
        <v>1.6242545782161666E-2</v>
      </c>
      <c r="Q1214">
        <v>4.4454351914766652E-4</v>
      </c>
      <c r="R1214">
        <v>5.3616590486888762E-4</v>
      </c>
      <c r="S1214">
        <v>5.7271469353290777E-2</v>
      </c>
      <c r="T1214">
        <v>1.0180379910247637</v>
      </c>
      <c r="U1214">
        <v>0</v>
      </c>
      <c r="V1214">
        <v>9.7301173905561908E-2</v>
      </c>
      <c r="W1214">
        <v>3.4171036062244184E-2</v>
      </c>
      <c r="X1214">
        <v>7.6504522519301021E-3</v>
      </c>
      <c r="Y1214">
        <v>1.4592668460100739E-3</v>
      </c>
    </row>
    <row r="1215" spans="1:25" x14ac:dyDescent="0.25">
      <c r="A1215" s="1096"/>
      <c r="B1215" s="1455">
        <v>965</v>
      </c>
      <c r="C1215" s="1100">
        <v>0.99115139573389333</v>
      </c>
      <c r="D1215" s="1100">
        <v>1.0344480461030339</v>
      </c>
      <c r="E1215" s="1100">
        <v>0.960653866533145</v>
      </c>
      <c r="F1215" s="1100">
        <v>0.9706796164856607</v>
      </c>
      <c r="G1215" s="1100">
        <v>1.0142247886372926</v>
      </c>
      <c r="H1215" s="1100">
        <v>0.99419499450424942</v>
      </c>
      <c r="I1215" s="1100">
        <v>0.98457786688424098</v>
      </c>
      <c r="K1215">
        <v>1.2808718337821858</v>
      </c>
      <c r="L1215">
        <v>0</v>
      </c>
      <c r="M1215">
        <v>6.4516813380906626E-4</v>
      </c>
      <c r="N1215">
        <v>5.2666513951162335E-2</v>
      </c>
      <c r="O1215">
        <v>7.7162824173738461E-3</v>
      </c>
      <c r="P1215">
        <v>1.5366122325436897E-2</v>
      </c>
      <c r="Q1215">
        <v>4.2924297053165719E-4</v>
      </c>
      <c r="R1215">
        <v>6.4325323797361812E-4</v>
      </c>
      <c r="S1215">
        <v>5.8875625115844654E-2</v>
      </c>
      <c r="T1215">
        <v>1.0032683298911704</v>
      </c>
      <c r="U1215">
        <v>0</v>
      </c>
      <c r="V1215">
        <v>9.8584832108899734E-2</v>
      </c>
      <c r="W1215">
        <v>3.5429977020753317E-2</v>
      </c>
      <c r="X1215">
        <v>6.7860996114570719E-3</v>
      </c>
      <c r="Y1215">
        <v>1.7507232653912797E-3</v>
      </c>
    </row>
    <row r="1216" spans="1:25" x14ac:dyDescent="0.25">
      <c r="A1216" s="1096"/>
      <c r="B1216" s="1455">
        <v>966</v>
      </c>
      <c r="C1216" s="1100">
        <v>0.96136155269978718</v>
      </c>
      <c r="D1216" s="1100">
        <v>0.97043342974106184</v>
      </c>
      <c r="E1216" s="1100">
        <v>1.018269963092131</v>
      </c>
      <c r="F1216" s="1100">
        <v>0.98994676197720299</v>
      </c>
      <c r="G1216" s="1100">
        <v>0.98895730450353314</v>
      </c>
      <c r="H1216" s="1100">
        <v>1.0398509386272055</v>
      </c>
      <c r="I1216" s="1100">
        <v>1.0287020073669013</v>
      </c>
      <c r="K1216">
        <v>1.3231198287714292</v>
      </c>
      <c r="L1216">
        <v>0</v>
      </c>
      <c r="M1216">
        <v>6.3344033019947701E-4</v>
      </c>
      <c r="N1216">
        <v>6.1557464921324169E-2</v>
      </c>
      <c r="O1216">
        <v>8.1761485331103764E-3</v>
      </c>
      <c r="P1216">
        <v>1.6409240283796048E-2</v>
      </c>
      <c r="Q1216">
        <v>4.8210843646907022E-4</v>
      </c>
      <c r="R1216">
        <v>6.3164279070601235E-4</v>
      </c>
      <c r="S1216">
        <v>6.7203425027326721E-2</v>
      </c>
      <c r="T1216">
        <v>1.0214666213972337</v>
      </c>
      <c r="U1216">
        <v>0</v>
      </c>
      <c r="V1216">
        <v>9.8201833881653947E-2</v>
      </c>
      <c r="W1216">
        <v>4.0005444968731013E-2</v>
      </c>
      <c r="X1216">
        <v>7.9002154059640457E-3</v>
      </c>
      <c r="Y1216">
        <v>1.7191234553117702E-3</v>
      </c>
    </row>
    <row r="1217" spans="1:25" x14ac:dyDescent="0.25">
      <c r="A1217" s="1096"/>
      <c r="B1217" s="1455">
        <v>967</v>
      </c>
      <c r="C1217" s="1100">
        <v>1.0046627744120957</v>
      </c>
      <c r="D1217" s="1100">
        <v>0.97943543786956355</v>
      </c>
      <c r="E1217" s="1100">
        <v>0.97421953677013562</v>
      </c>
      <c r="F1217" s="1100">
        <v>0.97893825923540134</v>
      </c>
      <c r="G1217" s="1100">
        <v>0.97788518012072767</v>
      </c>
      <c r="H1217" s="1100">
        <v>0.97160950775809041</v>
      </c>
      <c r="I1217" s="1100">
        <v>1.0006524787522628</v>
      </c>
      <c r="K1217">
        <v>1.2882205871375609</v>
      </c>
      <c r="L1217">
        <v>0</v>
      </c>
      <c r="M1217">
        <v>6.1822737381623182E-4</v>
      </c>
      <c r="N1217">
        <v>5.2580171104477345E-2</v>
      </c>
      <c r="O1217">
        <v>7.7840652782003097E-3</v>
      </c>
      <c r="P1217">
        <v>1.562455802802599E-2</v>
      </c>
      <c r="Q1217">
        <v>4.3906796148132041E-4</v>
      </c>
      <c r="R1217">
        <v>6.1634978584979526E-4</v>
      </c>
      <c r="S1217">
        <v>6.010951435973149E-2</v>
      </c>
      <c r="T1217">
        <v>1.0113960161918085</v>
      </c>
      <c r="U1217">
        <v>0</v>
      </c>
      <c r="V1217">
        <v>9.6506040749681568E-2</v>
      </c>
      <c r="W1217">
        <v>3.5080453739362361E-2</v>
      </c>
      <c r="X1217">
        <v>7.0250763753271816E-3</v>
      </c>
      <c r="Y1217">
        <v>1.677500937430843E-3</v>
      </c>
    </row>
    <row r="1218" spans="1:25" x14ac:dyDescent="0.25">
      <c r="A1218" s="1096"/>
      <c r="B1218" s="1455">
        <v>968</v>
      </c>
      <c r="C1218" s="1100">
        <v>1.0417751576705092</v>
      </c>
      <c r="D1218" s="1100">
        <v>1.014753995370328</v>
      </c>
      <c r="E1218" s="1100">
        <v>0.97736738199042184</v>
      </c>
      <c r="F1218" s="1100">
        <v>0.99531240154189371</v>
      </c>
      <c r="G1218" s="1100">
        <v>1.0293236405032817</v>
      </c>
      <c r="H1218" s="1100">
        <v>1.0073084227760511</v>
      </c>
      <c r="I1218" s="1100">
        <v>1.0114710527047652</v>
      </c>
      <c r="K1218">
        <v>1.3039183176848397</v>
      </c>
      <c r="L1218">
        <v>0</v>
      </c>
      <c r="M1218">
        <v>6.0546120816800883E-4</v>
      </c>
      <c r="N1218">
        <v>5.1992967684142168E-2</v>
      </c>
      <c r="O1218">
        <v>7.4018776020245208E-3</v>
      </c>
      <c r="P1218">
        <v>1.5888271852687229E-2</v>
      </c>
      <c r="Q1218">
        <v>4.1885137503678589E-4</v>
      </c>
      <c r="R1218">
        <v>6.0368755917718057E-4</v>
      </c>
      <c r="S1218">
        <v>5.8542586214687407E-2</v>
      </c>
      <c r="T1218">
        <v>1.0282175364869721</v>
      </c>
      <c r="U1218">
        <v>0</v>
      </c>
      <c r="V1218">
        <v>9.8119101955620888E-2</v>
      </c>
      <c r="W1218">
        <v>3.4622591657626531E-2</v>
      </c>
      <c r="X1218">
        <v>7.0732679745017131E-3</v>
      </c>
      <c r="Y1218">
        <v>1.6430385305298868E-3</v>
      </c>
    </row>
    <row r="1219" spans="1:25" x14ac:dyDescent="0.25">
      <c r="A1219" s="1096"/>
      <c r="B1219" s="1455">
        <v>969</v>
      </c>
      <c r="C1219" s="1100">
        <v>0.97827348009748105</v>
      </c>
      <c r="D1219" s="1100">
        <v>0.9747035603266041</v>
      </c>
      <c r="E1219" s="1100">
        <v>1.0363386651241102</v>
      </c>
      <c r="F1219" s="1100">
        <v>0.98026250673778115</v>
      </c>
      <c r="G1219" s="1100">
        <v>0.97521986492263391</v>
      </c>
      <c r="H1219" s="1100">
        <v>0.97092755047809176</v>
      </c>
      <c r="I1219" s="1100">
        <v>0.96294677517843319</v>
      </c>
      <c r="K1219">
        <v>1.2962529848183264</v>
      </c>
      <c r="L1219">
        <v>0</v>
      </c>
      <c r="M1219">
        <v>5.5877902038854038E-4</v>
      </c>
      <c r="N1219">
        <v>5.7330774635183462E-2</v>
      </c>
      <c r="O1219">
        <v>8.0253040992007679E-3</v>
      </c>
      <c r="P1219">
        <v>1.6357559621522008E-2</v>
      </c>
      <c r="Q1219">
        <v>4.8175631850345258E-4</v>
      </c>
      <c r="R1219">
        <v>5.5708078813171446E-4</v>
      </c>
      <c r="S1219">
        <v>5.9599180010325097E-2</v>
      </c>
      <c r="T1219">
        <v>1.0109611661959479</v>
      </c>
      <c r="U1219">
        <v>0</v>
      </c>
      <c r="V1219">
        <v>9.7111787402673941E-2</v>
      </c>
      <c r="W1219">
        <v>3.6869005272325658E-2</v>
      </c>
      <c r="X1219">
        <v>8.0019592312372614E-3</v>
      </c>
      <c r="Y1219">
        <v>1.5161902636620737E-3</v>
      </c>
    </row>
    <row r="1220" spans="1:25" x14ac:dyDescent="0.25">
      <c r="A1220" s="1096"/>
      <c r="B1220" s="1455">
        <v>970</v>
      </c>
      <c r="C1220" s="1100">
        <v>0.98182844065536234</v>
      </c>
      <c r="D1220" s="1100">
        <v>1.0013725506479896</v>
      </c>
      <c r="E1220" s="1100">
        <v>0.97408179491178593</v>
      </c>
      <c r="F1220" s="1100">
        <v>1.0381590900970068</v>
      </c>
      <c r="G1220" s="1100">
        <v>1.0059970609463449</v>
      </c>
      <c r="H1220" s="1100">
        <v>1.0116200868310934</v>
      </c>
      <c r="I1220" s="1100">
        <v>1.01111620720072</v>
      </c>
      <c r="K1220">
        <v>1.3602328883331223</v>
      </c>
      <c r="L1220">
        <v>0</v>
      </c>
      <c r="M1220">
        <v>6.5303168551534597E-4</v>
      </c>
      <c r="N1220">
        <v>5.5523810877714581E-2</v>
      </c>
      <c r="O1220">
        <v>7.8948037522237821E-3</v>
      </c>
      <c r="P1220">
        <v>1.6501429148711395E-2</v>
      </c>
      <c r="Q1220">
        <v>4.4525173224977408E-4</v>
      </c>
      <c r="R1220">
        <v>6.5112683619087839E-4</v>
      </c>
      <c r="S1220">
        <v>6.2670403222858787E-2</v>
      </c>
      <c r="T1220">
        <v>1.072584744660426</v>
      </c>
      <c r="U1220">
        <v>0</v>
      </c>
      <c r="V1220">
        <v>9.8439084730431031E-2</v>
      </c>
      <c r="W1220">
        <v>3.7047487675931877E-2</v>
      </c>
      <c r="X1220">
        <v>7.355624777690078E-3</v>
      </c>
      <c r="Y1220">
        <v>1.7721526042077083E-3</v>
      </c>
    </row>
    <row r="1221" spans="1:25" x14ac:dyDescent="0.25">
      <c r="A1221" s="1096"/>
      <c r="B1221" s="1455">
        <v>971</v>
      </c>
      <c r="C1221" s="1100">
        <v>0.99674646594699667</v>
      </c>
      <c r="D1221" s="1100">
        <v>0.98399288911324034</v>
      </c>
      <c r="E1221" s="1100">
        <v>0.99242376388238707</v>
      </c>
      <c r="F1221" s="1100">
        <v>1.0311266774883991</v>
      </c>
      <c r="G1221" s="1100">
        <v>1.0080890246906054</v>
      </c>
      <c r="H1221" s="1100">
        <v>1.0136300605585475</v>
      </c>
      <c r="I1221" s="1100">
        <v>0.98507864899650377</v>
      </c>
      <c r="K1221">
        <v>1.3510946964784925</v>
      </c>
      <c r="L1221">
        <v>0</v>
      </c>
      <c r="M1221">
        <v>6.2489722315057508E-4</v>
      </c>
      <c r="N1221">
        <v>5.6163248026198785E-2</v>
      </c>
      <c r="O1221">
        <v>7.8358318959849318E-3</v>
      </c>
      <c r="P1221">
        <v>1.6596976220545411E-2</v>
      </c>
      <c r="Q1221">
        <v>4.502266983859532E-4</v>
      </c>
      <c r="R1221">
        <v>6.2307805463312864E-4</v>
      </c>
      <c r="S1221">
        <v>6.0788507030886375E-2</v>
      </c>
      <c r="T1221">
        <v>1.0647467281300573</v>
      </c>
      <c r="U1221">
        <v>0</v>
      </c>
      <c r="V1221">
        <v>9.8183042236794638E-2</v>
      </c>
      <c r="W1221">
        <v>3.7062447442719366E-2</v>
      </c>
      <c r="X1221">
        <v>7.5736948983506653E-3</v>
      </c>
      <c r="Y1221">
        <v>1.6958130670858688E-3</v>
      </c>
    </row>
    <row r="1222" spans="1:25" x14ac:dyDescent="0.25">
      <c r="A1222" s="1096"/>
      <c r="B1222" s="1455">
        <v>972</v>
      </c>
      <c r="C1222" s="1100">
        <v>1.0081570141687974</v>
      </c>
      <c r="D1222" s="1100">
        <v>0.98802526764212539</v>
      </c>
      <c r="E1222" s="1100">
        <v>0.98484047445958811</v>
      </c>
      <c r="F1222" s="1100">
        <v>1.0144119046985731</v>
      </c>
      <c r="G1222" s="1100">
        <v>0.9859794953478116</v>
      </c>
      <c r="H1222" s="1100">
        <v>0.98834613751713507</v>
      </c>
      <c r="I1222" s="1100">
        <v>1.0352773234500317</v>
      </c>
      <c r="K1222">
        <v>1.3294505186144463</v>
      </c>
      <c r="L1222">
        <v>0</v>
      </c>
      <c r="M1222">
        <v>6.109471059387128E-4</v>
      </c>
      <c r="N1222">
        <v>5.3660716383055702E-2</v>
      </c>
      <c r="O1222">
        <v>7.7326294398817261E-3</v>
      </c>
      <c r="P1222">
        <v>1.6273750391296134E-2</v>
      </c>
      <c r="Q1222">
        <v>4.4090189512227947E-4</v>
      </c>
      <c r="R1222">
        <v>6.0912304912608638E-4</v>
      </c>
      <c r="S1222">
        <v>6.2220748343138781E-2</v>
      </c>
      <c r="T1222">
        <v>1.0477185480424844</v>
      </c>
      <c r="U1222">
        <v>0</v>
      </c>
      <c r="V1222">
        <v>9.6823761401173464E-2</v>
      </c>
      <c r="W1222">
        <v>3.5572420766298303E-2</v>
      </c>
      <c r="X1222">
        <v>7.3510338664454508E-3</v>
      </c>
      <c r="Y1222">
        <v>1.6578321423620288E-3</v>
      </c>
    </row>
    <row r="1223" spans="1:25" x14ac:dyDescent="0.25">
      <c r="A1223" s="1096"/>
      <c r="B1223" s="1455">
        <v>973</v>
      </c>
      <c r="C1223" s="1100">
        <v>1.0141806677275875</v>
      </c>
      <c r="D1223" s="1100">
        <v>1.013212126608108</v>
      </c>
      <c r="E1223" s="1100">
        <v>1.0021358668964606</v>
      </c>
      <c r="F1223" s="1100">
        <v>1.0305329293184073</v>
      </c>
      <c r="G1223" s="1100">
        <v>1.0368441128210204</v>
      </c>
      <c r="H1223" s="1100">
        <v>0.97443105292773313</v>
      </c>
      <c r="I1223" s="1100">
        <v>1.0010101370405045</v>
      </c>
      <c r="K1223">
        <v>1.3431773735544226</v>
      </c>
      <c r="L1223">
        <v>0</v>
      </c>
      <c r="M1223">
        <v>5.7190079605308811E-4</v>
      </c>
      <c r="N1223">
        <v>5.2924782404940862E-2</v>
      </c>
      <c r="O1223">
        <v>7.6138526409288516E-3</v>
      </c>
      <c r="P1223">
        <v>1.6688918519150706E-2</v>
      </c>
      <c r="Q1223">
        <v>4.4177054692350878E-4</v>
      </c>
      <c r="R1223">
        <v>5.7016893357155981E-4</v>
      </c>
      <c r="S1223">
        <v>5.8600023313231261E-2</v>
      </c>
      <c r="T1223">
        <v>1.0638349006557264</v>
      </c>
      <c r="U1223">
        <v>0</v>
      </c>
      <c r="V1223">
        <v>9.9157572628615451E-2</v>
      </c>
      <c r="W1223">
        <v>3.4723913451269378E-2</v>
      </c>
      <c r="X1223">
        <v>7.6415593750740265E-3</v>
      </c>
      <c r="Y1223">
        <v>1.5518118810433482E-3</v>
      </c>
    </row>
    <row r="1224" spans="1:25" x14ac:dyDescent="0.25">
      <c r="A1224" s="1096"/>
      <c r="B1224" s="1455">
        <v>974</v>
      </c>
      <c r="C1224" s="1100">
        <v>0.98687698419571668</v>
      </c>
      <c r="D1224" s="1100">
        <v>1.0067774057497485</v>
      </c>
      <c r="E1224" s="1100">
        <v>1.0060942167238316</v>
      </c>
      <c r="F1224" s="1100">
        <v>0.97625032092311048</v>
      </c>
      <c r="G1224" s="1100">
        <v>1.0221127098542004</v>
      </c>
      <c r="H1224" s="1100">
        <v>0.98439178390362825</v>
      </c>
      <c r="I1224" s="1100">
        <v>1.0195133612226532</v>
      </c>
      <c r="K1224">
        <v>1.2935835271369183</v>
      </c>
      <c r="L1224">
        <v>0</v>
      </c>
      <c r="M1224">
        <v>5.903756696591611E-4</v>
      </c>
      <c r="N1224">
        <v>5.5293279537552906E-2</v>
      </c>
      <c r="O1224">
        <v>7.8454514035268662E-3</v>
      </c>
      <c r="P1224">
        <v>1.6013054787970077E-2</v>
      </c>
      <c r="Q1224">
        <v>4.5701903811717226E-4</v>
      </c>
      <c r="R1224">
        <v>5.8860595075810622E-4</v>
      </c>
      <c r="S1224">
        <v>6.1862310887694831E-2</v>
      </c>
      <c r="T1224">
        <v>1.0076835850784909</v>
      </c>
      <c r="U1224">
        <v>0</v>
      </c>
      <c r="V1224">
        <v>9.9125475151300685E-2</v>
      </c>
      <c r="W1224">
        <v>3.6192910832404633E-2</v>
      </c>
      <c r="X1224">
        <v>7.5102187746958161E-3</v>
      </c>
      <c r="Y1224">
        <v>1.6019913640640453E-3</v>
      </c>
    </row>
    <row r="1225" spans="1:25" x14ac:dyDescent="0.25">
      <c r="A1225" s="1096"/>
      <c r="B1225" s="1455">
        <v>975</v>
      </c>
      <c r="C1225" s="1100">
        <v>1.0061944313606581</v>
      </c>
      <c r="D1225" s="1100">
        <v>1.0253350137472659</v>
      </c>
      <c r="E1225" s="1100">
        <v>1.0064495415283958</v>
      </c>
      <c r="F1225" s="1100">
        <v>0.99177545786934551</v>
      </c>
      <c r="G1225" s="1100">
        <v>1.0281205856403182</v>
      </c>
      <c r="H1225" s="1100">
        <v>1.0384170337917451</v>
      </c>
      <c r="I1225" s="1100">
        <v>1.0315687666546567</v>
      </c>
      <c r="K1225">
        <v>1.312638769184266</v>
      </c>
      <c r="L1225">
        <v>0</v>
      </c>
      <c r="M1225">
        <v>6.0592663902360986E-4</v>
      </c>
      <c r="N1225">
        <v>5.6819561723895212E-2</v>
      </c>
      <c r="O1225">
        <v>7.638903095106086E-3</v>
      </c>
      <c r="P1225">
        <v>1.6242431642083055E-2</v>
      </c>
      <c r="Q1225">
        <v>4.4514544503307564E-4</v>
      </c>
      <c r="R1225">
        <v>6.0420480192398447E-4</v>
      </c>
      <c r="S1225">
        <v>6.2467899032849432E-2</v>
      </c>
      <c r="T1225">
        <v>1.0236981761982149</v>
      </c>
      <c r="U1225">
        <v>0</v>
      </c>
      <c r="V1225">
        <v>9.893435979358986E-2</v>
      </c>
      <c r="W1225">
        <v>3.7184143200030995E-2</v>
      </c>
      <c r="X1225">
        <v>7.5654245957862765E-3</v>
      </c>
      <c r="Y1225">
        <v>1.6444462947776616E-3</v>
      </c>
    </row>
    <row r="1226" spans="1:25" x14ac:dyDescent="0.25">
      <c r="A1226" s="1096"/>
      <c r="B1226" s="1455">
        <v>976</v>
      </c>
      <c r="C1226" s="1100">
        <v>0.99022634444537283</v>
      </c>
      <c r="D1226" s="1100">
        <v>1.0105145851626558</v>
      </c>
      <c r="E1226" s="1100">
        <v>1.0005848278739282</v>
      </c>
      <c r="F1226" s="1100">
        <v>1.0134810250387389</v>
      </c>
      <c r="G1226" s="1100">
        <v>0.98062847043654555</v>
      </c>
      <c r="H1226" s="1100">
        <v>0.98186350344508233</v>
      </c>
      <c r="I1226" s="1100">
        <v>0.99090566157040483</v>
      </c>
      <c r="K1226">
        <v>1.3273418717984113</v>
      </c>
      <c r="L1226">
        <v>0</v>
      </c>
      <c r="M1226">
        <v>5.9273726908226642E-4</v>
      </c>
      <c r="N1226">
        <v>5.4597868713193672E-2</v>
      </c>
      <c r="O1226">
        <v>7.8059745135745616E-3</v>
      </c>
      <c r="P1226">
        <v>1.641632378653643E-2</v>
      </c>
      <c r="Q1226">
        <v>4.5221278092178916E-4</v>
      </c>
      <c r="R1226">
        <v>5.9095589579326996E-4</v>
      </c>
      <c r="S1226">
        <v>5.9721677991183941E-2</v>
      </c>
      <c r="T1226">
        <v>1.046278684615461</v>
      </c>
      <c r="U1226">
        <v>0</v>
      </c>
      <c r="V1226">
        <v>9.7027423430037757E-2</v>
      </c>
      <c r="W1226">
        <v>3.5854626244002243E-2</v>
      </c>
      <c r="X1226">
        <v>7.5804739569979018E-3</v>
      </c>
      <c r="Y1226">
        <v>1.6083871397905886E-3</v>
      </c>
    </row>
    <row r="1227" spans="1:25" x14ac:dyDescent="0.25">
      <c r="A1227" s="1096"/>
      <c r="B1227" s="1455">
        <v>977</v>
      </c>
      <c r="C1227" s="1100">
        <v>1.0100691972787841</v>
      </c>
      <c r="D1227" s="1100">
        <v>0.97677552891346076</v>
      </c>
      <c r="E1227" s="1100">
        <v>0.98409904876847254</v>
      </c>
      <c r="F1227" s="1100">
        <v>1.0332332203839592</v>
      </c>
      <c r="G1227" s="1100">
        <v>1.027909887304945</v>
      </c>
      <c r="H1227" s="1100">
        <v>0.97828991279008015</v>
      </c>
      <c r="I1227" s="1100">
        <v>0.99179989386527312</v>
      </c>
      <c r="K1227">
        <v>1.3478449604163774</v>
      </c>
      <c r="L1227">
        <v>0</v>
      </c>
      <c r="M1227">
        <v>6.0728810388229848E-4</v>
      </c>
      <c r="N1227">
        <v>5.3218217725878099E-2</v>
      </c>
      <c r="O1227">
        <v>7.7532430160684365E-3</v>
      </c>
      <c r="P1227">
        <v>1.6517710803709767E-2</v>
      </c>
      <c r="Q1227">
        <v>4.4174505733634374E-4</v>
      </c>
      <c r="R1227">
        <v>6.0545633356743906E-4</v>
      </c>
      <c r="S1227">
        <v>5.9557329212100905E-2</v>
      </c>
      <c r="T1227">
        <v>1.0671809897906308</v>
      </c>
      <c r="U1227">
        <v>0</v>
      </c>
      <c r="V1227">
        <v>9.8804669026167483E-2</v>
      </c>
      <c r="W1227">
        <v>3.5294824146896053E-2</v>
      </c>
      <c r="X1227">
        <v>7.4302108565611376E-3</v>
      </c>
      <c r="Y1227">
        <v>1.6478525513438488E-3</v>
      </c>
    </row>
    <row r="1228" spans="1:25" x14ac:dyDescent="0.25">
      <c r="A1228" s="1096"/>
      <c r="B1228" s="1455">
        <v>978</v>
      </c>
      <c r="C1228" s="1100">
        <v>1.0302283376354135</v>
      </c>
      <c r="D1228" s="1100">
        <v>0.99730197436189139</v>
      </c>
      <c r="E1228" s="1100">
        <v>0.97357242189087256</v>
      </c>
      <c r="F1228" s="1100">
        <v>0.97277548839414918</v>
      </c>
      <c r="G1228" s="1100">
        <v>1.014472375356458</v>
      </c>
      <c r="H1228" s="1100">
        <v>0.9622697560535407</v>
      </c>
      <c r="I1228" s="1100">
        <v>1.0029612916531048</v>
      </c>
      <c r="K1228">
        <v>1.2766455910485044</v>
      </c>
      <c r="L1228">
        <v>0</v>
      </c>
      <c r="M1228">
        <v>5.9358148053403881E-4</v>
      </c>
      <c r="N1228">
        <v>5.0383757976544256E-2</v>
      </c>
      <c r="O1228">
        <v>7.5360554405755108E-3</v>
      </c>
      <c r="P1228">
        <v>1.5517959055446501E-2</v>
      </c>
      <c r="Q1228">
        <v>4.2479827451731821E-4</v>
      </c>
      <c r="R1228">
        <v>5.9176124610413523E-4</v>
      </c>
      <c r="S1228">
        <v>5.7905352866043855E-2</v>
      </c>
      <c r="T1228">
        <v>1.0050481405357399</v>
      </c>
      <c r="U1228">
        <v>0</v>
      </c>
      <c r="V1228">
        <v>9.7663117177554257E-2</v>
      </c>
      <c r="W1228">
        <v>3.362825137679374E-2</v>
      </c>
      <c r="X1228">
        <v>6.9293995418653618E-3</v>
      </c>
      <c r="Y1228">
        <v>1.6105790378531054E-3</v>
      </c>
    </row>
    <row r="1229" spans="1:25" x14ac:dyDescent="0.25">
      <c r="A1229" s="1096"/>
      <c r="B1229" s="1455">
        <v>979</v>
      </c>
      <c r="C1229" s="1100">
        <v>1.0408709215113328</v>
      </c>
      <c r="D1229" s="1100">
        <v>0.9650401801461419</v>
      </c>
      <c r="E1229" s="1100">
        <v>0.97591247959342264</v>
      </c>
      <c r="F1229" s="1100">
        <v>1.0200749236234739</v>
      </c>
      <c r="G1229" s="1100">
        <v>0.99262982030867442</v>
      </c>
      <c r="H1229" s="1100">
        <v>0.99608531106253595</v>
      </c>
      <c r="I1229" s="1100">
        <v>1.0250021725426854</v>
      </c>
      <c r="K1229">
        <v>1.3313031629830434</v>
      </c>
      <c r="L1229">
        <v>0</v>
      </c>
      <c r="M1229">
        <v>6.1323862947465274E-4</v>
      </c>
      <c r="N1229">
        <v>5.2427742416311179E-2</v>
      </c>
      <c r="O1229">
        <v>7.5583195290050715E-3</v>
      </c>
      <c r="P1229">
        <v>1.6218664395643297E-2</v>
      </c>
      <c r="Q1229">
        <v>4.2707079597619792E-4</v>
      </c>
      <c r="R1229">
        <v>6.1142195636856346E-4</v>
      </c>
      <c r="S1229">
        <v>6.0654529562744593E-2</v>
      </c>
      <c r="T1229">
        <v>1.053843921369779</v>
      </c>
      <c r="U1229">
        <v>0</v>
      </c>
      <c r="V1229">
        <v>9.636330939443756E-2</v>
      </c>
      <c r="W1229">
        <v>3.4942877922762239E-2</v>
      </c>
      <c r="X1229">
        <v>7.2044552594494205E-3</v>
      </c>
      <c r="Y1229">
        <v>1.6640890100414814E-3</v>
      </c>
    </row>
    <row r="1230" spans="1:25" x14ac:dyDescent="0.25">
      <c r="A1230" s="1096"/>
      <c r="B1230" s="1455">
        <v>980</v>
      </c>
      <c r="C1230" s="1100">
        <v>1.0036145313817306</v>
      </c>
      <c r="D1230" s="1100">
        <v>1.0081408214405294</v>
      </c>
      <c r="E1230" s="1100">
        <v>0.96762077826550086</v>
      </c>
      <c r="F1230" s="1100">
        <v>1.0142436425312094</v>
      </c>
      <c r="G1230" s="1100">
        <v>1.0198856356644996</v>
      </c>
      <c r="H1230" s="1100">
        <v>0.95632842779101457</v>
      </c>
      <c r="I1230" s="1100">
        <v>1.0016279532864416</v>
      </c>
      <c r="K1230">
        <v>1.3233529599065728</v>
      </c>
      <c r="L1230">
        <v>0</v>
      </c>
      <c r="M1230">
        <v>6.1040204591587409E-4</v>
      </c>
      <c r="N1230">
        <v>5.0885243716277263E-2</v>
      </c>
      <c r="O1230">
        <v>7.7010757933470919E-3</v>
      </c>
      <c r="P1230">
        <v>1.6044222627738688E-2</v>
      </c>
      <c r="Q1230">
        <v>4.3146851023838042E-4</v>
      </c>
      <c r="R1230">
        <v>6.085186018239307E-4</v>
      </c>
      <c r="S1230">
        <v>5.883104762787808E-2</v>
      </c>
      <c r="T1230">
        <v>1.04807702128596</v>
      </c>
      <c r="U1230">
        <v>0</v>
      </c>
      <c r="V1230">
        <v>9.8555996837744492E-2</v>
      </c>
      <c r="W1230">
        <v>3.4086155283677255E-2</v>
      </c>
      <c r="X1230">
        <v>7.0864246317407682E-3</v>
      </c>
      <c r="Y1230">
        <v>1.6561870360615601E-3</v>
      </c>
    </row>
    <row r="1231" spans="1:25" x14ac:dyDescent="0.25">
      <c r="A1231" s="1096"/>
      <c r="B1231" s="1455">
        <v>981</v>
      </c>
      <c r="C1231" s="1100">
        <v>0.98083619356439578</v>
      </c>
      <c r="D1231" s="1100">
        <v>0.96746872260292027</v>
      </c>
      <c r="E1231" s="1100">
        <v>0.98125329554976215</v>
      </c>
      <c r="F1231" s="1100">
        <v>0.99727875424520074</v>
      </c>
      <c r="G1231" s="1100">
        <v>1.0030333159422833</v>
      </c>
      <c r="H1231" s="1100">
        <v>0.972473725359705</v>
      </c>
      <c r="I1231" s="1100">
        <v>1.0017099578109794</v>
      </c>
      <c r="K1231">
        <v>1.3147724566894938</v>
      </c>
      <c r="L1231">
        <v>0</v>
      </c>
      <c r="M1231">
        <v>6.2773957484517503E-4</v>
      </c>
      <c r="N1231">
        <v>5.4537916242628728E-2</v>
      </c>
      <c r="O1231">
        <v>8.0142369152504944E-3</v>
      </c>
      <c r="P1231">
        <v>1.6011421477566037E-2</v>
      </c>
      <c r="Q1231">
        <v>4.5529846528416317E-4</v>
      </c>
      <c r="R1231">
        <v>6.2583479208789161E-4</v>
      </c>
      <c r="S1231">
        <v>6.2078918605495241E-2</v>
      </c>
      <c r="T1231">
        <v>1.030131150916189</v>
      </c>
      <c r="U1231">
        <v>0</v>
      </c>
      <c r="V1231">
        <v>9.8329248777158748E-2</v>
      </c>
      <c r="W1231">
        <v>3.6232134392879423E-2</v>
      </c>
      <c r="X1231">
        <v>7.2807196821190051E-3</v>
      </c>
      <c r="Y1231">
        <v>1.703315997679475E-3</v>
      </c>
    </row>
    <row r="1232" spans="1:25" x14ac:dyDescent="0.25">
      <c r="A1232" s="1096"/>
      <c r="B1232" s="1455">
        <v>982</v>
      </c>
      <c r="C1232" s="1100">
        <v>0.98937716653615604</v>
      </c>
      <c r="D1232" s="1100">
        <v>1.0131260731491896</v>
      </c>
      <c r="E1232" s="1100">
        <v>0.98601812113838438</v>
      </c>
      <c r="F1232" s="1100">
        <v>0.98155966563729768</v>
      </c>
      <c r="G1232" s="1100">
        <v>0.989714545241139</v>
      </c>
      <c r="H1232" s="1100">
        <v>1.0020197371647062</v>
      </c>
      <c r="I1232" s="1100">
        <v>0.99930396082543826</v>
      </c>
      <c r="K1232">
        <v>1.296349946974285</v>
      </c>
      <c r="L1232">
        <v>0</v>
      </c>
      <c r="M1232">
        <v>6.2333349130935291E-4</v>
      </c>
      <c r="N1232">
        <v>5.4946230696841562E-2</v>
      </c>
      <c r="O1232">
        <v>7.801021225399679E-3</v>
      </c>
      <c r="P1232">
        <v>1.5819399074240053E-2</v>
      </c>
      <c r="Q1232">
        <v>4.4533260351424628E-4</v>
      </c>
      <c r="R1232">
        <v>6.2149784923225086E-4</v>
      </c>
      <c r="S1232">
        <v>6.0800157741463863E-2</v>
      </c>
      <c r="T1232">
        <v>1.0137527472948762</v>
      </c>
      <c r="U1232">
        <v>0</v>
      </c>
      <c r="V1232">
        <v>9.7472236982079269E-2</v>
      </c>
      <c r="W1232">
        <v>3.6398824837045624E-2</v>
      </c>
      <c r="X1232">
        <v>7.2243198920018377E-3</v>
      </c>
      <c r="Y1232">
        <v>1.6915122688992488E-3</v>
      </c>
    </row>
    <row r="1233" spans="1:25" x14ac:dyDescent="0.25">
      <c r="A1233" s="1096"/>
      <c r="B1233" s="1455">
        <v>983</v>
      </c>
      <c r="C1233" s="1100">
        <v>0.96438567231764893</v>
      </c>
      <c r="D1233" s="1100">
        <v>0.95432780428291264</v>
      </c>
      <c r="E1233" s="1100">
        <v>1.0024520896404694</v>
      </c>
      <c r="F1233" s="1100">
        <v>1.0273868752646353</v>
      </c>
      <c r="G1233" s="1100">
        <v>1.0245097766397926</v>
      </c>
      <c r="H1233" s="1100">
        <v>1.011433769837657</v>
      </c>
      <c r="I1233" s="1100">
        <v>1.0173461582967176</v>
      </c>
      <c r="K1233">
        <v>1.3593202816085326</v>
      </c>
      <c r="L1233">
        <v>0</v>
      </c>
      <c r="M1233">
        <v>6.3898072934207679E-4</v>
      </c>
      <c r="N1233">
        <v>5.9195575006775338E-2</v>
      </c>
      <c r="O1233">
        <v>8.201145381134126E-3</v>
      </c>
      <c r="P1233">
        <v>1.6757228582697771E-2</v>
      </c>
      <c r="Q1233">
        <v>4.7599749951015094E-4</v>
      </c>
      <c r="R1233">
        <v>6.3711652236408728E-4</v>
      </c>
      <c r="S1233">
        <v>6.5898995140228539E-2</v>
      </c>
      <c r="T1233">
        <v>1.0605775329758067</v>
      </c>
      <c r="U1233">
        <v>0</v>
      </c>
      <c r="V1233">
        <v>9.9823016377658877E-2</v>
      </c>
      <c r="W1233">
        <v>3.8830890606770967E-2</v>
      </c>
      <c r="X1233">
        <v>7.8277430964592935E-3</v>
      </c>
      <c r="Y1233">
        <v>1.734021148469894E-3</v>
      </c>
    </row>
    <row r="1234" spans="1:25" x14ac:dyDescent="0.25">
      <c r="A1234" s="1096"/>
      <c r="B1234" s="1455">
        <v>984</v>
      </c>
      <c r="C1234" s="1100">
        <v>0.96215015253454428</v>
      </c>
      <c r="D1234" s="1100">
        <v>1.0151362392563685</v>
      </c>
      <c r="E1234" s="1100">
        <v>1.0000279352235542</v>
      </c>
      <c r="F1234" s="1100">
        <v>0.96075430452487498</v>
      </c>
      <c r="G1234" s="1100">
        <v>1.0126298537461664</v>
      </c>
      <c r="H1234" s="1100">
        <v>0.98520504728933733</v>
      </c>
      <c r="I1234" s="1100">
        <v>1.0132644339522492</v>
      </c>
      <c r="K1234">
        <v>1.280447693770709</v>
      </c>
      <c r="L1234">
        <v>0</v>
      </c>
      <c r="M1234">
        <v>6.1169985392808552E-4</v>
      </c>
      <c r="N1234">
        <v>5.6250396898908789E-2</v>
      </c>
      <c r="O1234">
        <v>8.0189666060329085E-3</v>
      </c>
      <c r="P1234">
        <v>1.5740445396170363E-2</v>
      </c>
      <c r="Q1234">
        <v>4.6429183023547475E-4</v>
      </c>
      <c r="R1234">
        <v>6.0986772696143489E-4</v>
      </c>
      <c r="S1234">
        <v>6.2803639171713999E-2</v>
      </c>
      <c r="T1234">
        <v>0.9918615744224758</v>
      </c>
      <c r="U1234">
        <v>0</v>
      </c>
      <c r="V1234">
        <v>9.9305250113394111E-2</v>
      </c>
      <c r="W1234">
        <v>3.6952073390669575E-2</v>
      </c>
      <c r="X1234">
        <v>7.3930291581277849E-3</v>
      </c>
      <c r="Y1234">
        <v>1.6598589099468646E-3</v>
      </c>
    </row>
    <row r="1235" spans="1:25" x14ac:dyDescent="0.25">
      <c r="A1235" s="1096"/>
      <c r="B1235" s="1455">
        <v>985</v>
      </c>
      <c r="C1235" s="1100">
        <v>1.0011490468857545</v>
      </c>
      <c r="D1235" s="1100">
        <v>1.0052618141917766</v>
      </c>
      <c r="E1235" s="1100">
        <v>0.97667830069071948</v>
      </c>
      <c r="F1235" s="1100">
        <v>1.0005584225134843</v>
      </c>
      <c r="G1235" s="1100">
        <v>0.98930001790810385</v>
      </c>
      <c r="H1235" s="1100">
        <v>0.98590541739113546</v>
      </c>
      <c r="I1235" s="1100">
        <v>1.0407000747424697</v>
      </c>
      <c r="K1235">
        <v>1.3146267273179102</v>
      </c>
      <c r="L1235">
        <v>0</v>
      </c>
      <c r="M1235">
        <v>6.198484543084731E-4</v>
      </c>
      <c r="N1235">
        <v>5.3114174428404944E-2</v>
      </c>
      <c r="O1235">
        <v>7.7310833509471998E-3</v>
      </c>
      <c r="P1235">
        <v>1.5990420505358777E-2</v>
      </c>
      <c r="Q1235">
        <v>4.3717339647485068E-4</v>
      </c>
      <c r="R1235">
        <v>6.1799323998828397E-4</v>
      </c>
      <c r="S1235">
        <v>6.2316488568072662E-2</v>
      </c>
      <c r="T1235">
        <v>1.0336579871041509</v>
      </c>
      <c r="U1235">
        <v>0</v>
      </c>
      <c r="V1235">
        <v>9.7147409436716875E-2</v>
      </c>
      <c r="W1235">
        <v>3.5383967858888296E-2</v>
      </c>
      <c r="X1235">
        <v>7.1679040053834533E-3</v>
      </c>
      <c r="Y1235">
        <v>1.6819738778312981E-3</v>
      </c>
    </row>
    <row r="1236" spans="1:25" x14ac:dyDescent="0.25">
      <c r="A1236" s="1096"/>
      <c r="B1236" s="1455">
        <v>986</v>
      </c>
      <c r="C1236" s="1100">
        <v>1.0095866152715278</v>
      </c>
      <c r="D1236" s="1100">
        <v>1.022172991955616</v>
      </c>
      <c r="E1236" s="1100">
        <v>0.99706111359341643</v>
      </c>
      <c r="F1236" s="1100">
        <v>0.98542977939570608</v>
      </c>
      <c r="G1236" s="1100">
        <v>1.0321262108219365</v>
      </c>
      <c r="H1236" s="1100">
        <v>0.98760563078516705</v>
      </c>
      <c r="I1236" s="1100">
        <v>0.97765015744387085</v>
      </c>
      <c r="K1236">
        <v>1.2956463801090634</v>
      </c>
      <c r="L1236">
        <v>0</v>
      </c>
      <c r="M1236">
        <v>5.8636310095508209E-4</v>
      </c>
      <c r="N1236">
        <v>5.3439679408106087E-2</v>
      </c>
      <c r="O1236">
        <v>7.6203848445650091E-3</v>
      </c>
      <c r="P1236">
        <v>1.5978963446855701E-2</v>
      </c>
      <c r="Q1236">
        <v>4.3989937995205397E-4</v>
      </c>
      <c r="R1236">
        <v>5.8461113003257083E-4</v>
      </c>
      <c r="S1236">
        <v>5.7602889125510752E-2</v>
      </c>
      <c r="T1236">
        <v>1.0174231388532631</v>
      </c>
      <c r="U1236">
        <v>0</v>
      </c>
      <c r="V1236">
        <v>9.9034837023511305E-2</v>
      </c>
      <c r="W1236">
        <v>3.5167682030607203E-2</v>
      </c>
      <c r="X1236">
        <v>7.3495391886721642E-3</v>
      </c>
      <c r="Y1236">
        <v>1.5911187789414366E-3</v>
      </c>
    </row>
    <row r="1237" spans="1:25" x14ac:dyDescent="0.25">
      <c r="A1237" s="1096"/>
      <c r="B1237" s="1455">
        <v>987</v>
      </c>
      <c r="C1237" s="1100">
        <v>1.0205118969818465</v>
      </c>
      <c r="D1237" s="1100">
        <v>0.98311651654460286</v>
      </c>
      <c r="E1237" s="1100">
        <v>1.008267351528958</v>
      </c>
      <c r="F1237" s="1100">
        <v>1.0095797738862158</v>
      </c>
      <c r="G1237" s="1100">
        <v>1.0002949874535627</v>
      </c>
      <c r="H1237" s="1100">
        <v>1.00141108978298</v>
      </c>
      <c r="I1237" s="1100">
        <v>0.97846541644340979</v>
      </c>
      <c r="K1237">
        <v>1.3227009264582985</v>
      </c>
      <c r="L1237">
        <v>0</v>
      </c>
      <c r="M1237">
        <v>5.8369952745339077E-4</v>
      </c>
      <c r="N1237">
        <v>5.5030732316565301E-2</v>
      </c>
      <c r="O1237">
        <v>7.6599184561524751E-3</v>
      </c>
      <c r="P1237">
        <v>1.6440255321321279E-2</v>
      </c>
      <c r="Q1237">
        <v>4.4718312964336964E-4</v>
      </c>
      <c r="R1237">
        <v>5.8197955788270308E-4</v>
      </c>
      <c r="S1237">
        <v>5.8657299803052253E-2</v>
      </c>
      <c r="T1237">
        <v>1.0420213440074908</v>
      </c>
      <c r="U1237">
        <v>0</v>
      </c>
      <c r="V1237">
        <v>9.7244614972685856E-2</v>
      </c>
      <c r="W1237">
        <v>3.5974825235265961E-2</v>
      </c>
      <c r="X1237">
        <v>7.6425166786436328E-3</v>
      </c>
      <c r="Y1237">
        <v>1.5839565070470223E-3</v>
      </c>
    </row>
    <row r="1238" spans="1:25" x14ac:dyDescent="0.25">
      <c r="A1238" s="1096"/>
      <c r="B1238" s="1455">
        <v>988</v>
      </c>
      <c r="C1238" s="1100">
        <v>1.0086512224247195</v>
      </c>
      <c r="D1238" s="1100">
        <v>0.98307938145863083</v>
      </c>
      <c r="E1238" s="1100">
        <v>0.99373418551049275</v>
      </c>
      <c r="F1238" s="1100">
        <v>1.0027248507080138</v>
      </c>
      <c r="G1238" s="1100">
        <v>0.98404743439233688</v>
      </c>
      <c r="H1238" s="1100">
        <v>0.97321804740601348</v>
      </c>
      <c r="I1238" s="1100">
        <v>1.0111803739581191</v>
      </c>
      <c r="K1238">
        <v>1.3145131955690419</v>
      </c>
      <c r="L1238">
        <v>0</v>
      </c>
      <c r="M1238">
        <v>5.915140555143852E-4</v>
      </c>
      <c r="N1238">
        <v>5.3367432525480978E-2</v>
      </c>
      <c r="O1238">
        <v>7.7465464127520513E-3</v>
      </c>
      <c r="P1238">
        <v>1.6190279527024325E-2</v>
      </c>
      <c r="Q1238">
        <v>4.4568551125208421E-4</v>
      </c>
      <c r="R1238">
        <v>5.8972056644898262E-4</v>
      </c>
      <c r="S1238">
        <v>6.0449321638363238E-2</v>
      </c>
      <c r="T1238">
        <v>1.0353794728714161</v>
      </c>
      <c r="U1238">
        <v>0</v>
      </c>
      <c r="V1238">
        <v>9.6728067659540978E-2</v>
      </c>
      <c r="W1238">
        <v>3.5189904390302507E-2</v>
      </c>
      <c r="X1238">
        <v>7.4132535414338056E-3</v>
      </c>
      <c r="Y1238">
        <v>1.6050249805416475E-3</v>
      </c>
    </row>
    <row r="1239" spans="1:25" x14ac:dyDescent="0.25">
      <c r="A1239" s="1096"/>
      <c r="B1239" s="1455">
        <v>989</v>
      </c>
      <c r="C1239" s="1100">
        <v>0.98731720325048689</v>
      </c>
      <c r="D1239" s="1100">
        <v>1.0004432239764207</v>
      </c>
      <c r="E1239" s="1100">
        <v>1.0031158939588463</v>
      </c>
      <c r="F1239" s="1100">
        <v>1.0268305454081939</v>
      </c>
      <c r="G1239" s="1100">
        <v>0.97864064154753028</v>
      </c>
      <c r="H1239" s="1100">
        <v>0.96846323872012829</v>
      </c>
      <c r="I1239" s="1100">
        <v>1.0090673086011952</v>
      </c>
      <c r="K1239">
        <v>1.3421500416779126</v>
      </c>
      <c r="L1239">
        <v>0</v>
      </c>
      <c r="M1239">
        <v>5.8564076038242251E-4</v>
      </c>
      <c r="N1239">
        <v>5.4355962433246481E-2</v>
      </c>
      <c r="O1239">
        <v>7.8610349701361444E-3</v>
      </c>
      <c r="P1239">
        <v>1.66506213424952E-2</v>
      </c>
      <c r="Q1239">
        <v>4.5656143289086207E-4</v>
      </c>
      <c r="R1239">
        <v>5.8385636137113896E-4</v>
      </c>
      <c r="S1239">
        <v>6.0909078098232247E-2</v>
      </c>
      <c r="T1239">
        <v>1.0599829985858429</v>
      </c>
      <c r="U1239">
        <v>0</v>
      </c>
      <c r="V1239">
        <v>9.700782474719237E-2</v>
      </c>
      <c r="W1239">
        <v>3.5642185985476214E-2</v>
      </c>
      <c r="X1239">
        <v>7.6964939339571534E-3</v>
      </c>
      <c r="Y1239">
        <v>1.5890645474544412E-3</v>
      </c>
    </row>
    <row r="1240" spans="1:25" x14ac:dyDescent="0.25">
      <c r="A1240" s="1096"/>
      <c r="B1240" s="1455">
        <v>990</v>
      </c>
      <c r="C1240" s="1100">
        <v>0.98538856648891637</v>
      </c>
      <c r="D1240" s="1100">
        <v>1.0459403824287932</v>
      </c>
      <c r="E1240" s="1100">
        <v>1.0022475403442865</v>
      </c>
      <c r="F1240" s="1100">
        <v>1.0041843756669235</v>
      </c>
      <c r="G1240" s="1100">
        <v>0.98136263758903064</v>
      </c>
      <c r="H1240" s="1100">
        <v>0.98552823492508945</v>
      </c>
      <c r="I1240" s="1100">
        <v>0.99186030117359048</v>
      </c>
      <c r="K1240">
        <v>1.3166171058943301</v>
      </c>
      <c r="L1240">
        <v>0</v>
      </c>
      <c r="M1240">
        <v>5.8765604589398445E-4</v>
      </c>
      <c r="N1240">
        <v>5.4403012020432504E-2</v>
      </c>
      <c r="O1240">
        <v>7.7373312390903934E-3</v>
      </c>
      <c r="P1240">
        <v>1.6298351943229407E-2</v>
      </c>
      <c r="Q1240">
        <v>4.4898535100392156E-4</v>
      </c>
      <c r="R1240">
        <v>5.8589651070864912E-4</v>
      </c>
      <c r="S1240">
        <v>5.9084025031693431E-2</v>
      </c>
      <c r="T1240">
        <v>1.0366315552720451</v>
      </c>
      <c r="U1240">
        <v>0</v>
      </c>
      <c r="V1240">
        <v>9.7187670648723468E-2</v>
      </c>
      <c r="W1240">
        <v>3.5691413973511006E-2</v>
      </c>
      <c r="X1240">
        <v>7.5419027883696617E-3</v>
      </c>
      <c r="Y1240">
        <v>1.5946171614160955E-3</v>
      </c>
    </row>
    <row r="1241" spans="1:25" x14ac:dyDescent="0.25">
      <c r="A1241" s="1096"/>
      <c r="B1241" s="1455">
        <v>991</v>
      </c>
      <c r="C1241" s="1100">
        <v>0.98770225510860343</v>
      </c>
      <c r="D1241" s="1100">
        <v>1.0158532517302183</v>
      </c>
      <c r="E1241" s="1100">
        <v>0.99622357111229054</v>
      </c>
      <c r="F1241" s="1100">
        <v>0.9860945588898381</v>
      </c>
      <c r="G1241" s="1100">
        <v>1.0120745169882865</v>
      </c>
      <c r="H1241" s="1100">
        <v>1.0107429221188999</v>
      </c>
      <c r="I1241" s="1100">
        <v>0.95973376527807586</v>
      </c>
      <c r="K1241">
        <v>1.3016019698057539</v>
      </c>
      <c r="L1241">
        <v>0</v>
      </c>
      <c r="M1241">
        <v>6.1598878925556817E-4</v>
      </c>
      <c r="N1241">
        <v>5.6001621671013177E-2</v>
      </c>
      <c r="O1241">
        <v>7.8083687658874069E-3</v>
      </c>
      <c r="P1241">
        <v>1.5987390538290722E-2</v>
      </c>
      <c r="Q1241">
        <v>4.5037103990194376E-4</v>
      </c>
      <c r="R1241">
        <v>6.141904322221033E-4</v>
      </c>
      <c r="S1241">
        <v>5.8674226011354302E-2</v>
      </c>
      <c r="T1241">
        <v>1.018134166889477</v>
      </c>
      <c r="U1241">
        <v>0</v>
      </c>
      <c r="V1241">
        <v>9.8607747526538864E-2</v>
      </c>
      <c r="W1241">
        <v>3.6872048342084178E-2</v>
      </c>
      <c r="X1241">
        <v>7.3962034895517599E-3</v>
      </c>
      <c r="Y1241">
        <v>1.6716238886869976E-3</v>
      </c>
    </row>
    <row r="1242" spans="1:25" x14ac:dyDescent="0.25">
      <c r="A1242" s="1096"/>
      <c r="B1242" s="1455">
        <v>992</v>
      </c>
      <c r="C1242" s="1100">
        <v>1.0089253229849295</v>
      </c>
      <c r="D1242" s="1100">
        <v>0.99238838254477413</v>
      </c>
      <c r="E1242" s="1100">
        <v>0.98629089600541653</v>
      </c>
      <c r="F1242" s="1100">
        <v>1.0078977888003109</v>
      </c>
      <c r="G1242" s="1100">
        <v>0.97239035987359856</v>
      </c>
      <c r="H1242" s="1100">
        <v>1.0339162789612069</v>
      </c>
      <c r="I1242" s="1100">
        <v>1.0425437961208723</v>
      </c>
      <c r="K1242">
        <v>1.3276648262280843</v>
      </c>
      <c r="L1242">
        <v>0</v>
      </c>
      <c r="M1242">
        <v>6.3559423427031838E-4</v>
      </c>
      <c r="N1242">
        <v>5.6078350948665916E-2</v>
      </c>
      <c r="O1242">
        <v>7.7134876479551303E-3</v>
      </c>
      <c r="P1242">
        <v>1.621382347916674E-2</v>
      </c>
      <c r="Q1242">
        <v>4.4045730424472105E-4</v>
      </c>
      <c r="R1242">
        <v>6.3378022962896408E-4</v>
      </c>
      <c r="S1242">
        <v>6.3905062816991098E-2</v>
      </c>
      <c r="T1242">
        <v>1.040946408262996</v>
      </c>
      <c r="U1242">
        <v>0</v>
      </c>
      <c r="V1242">
        <v>9.6149302976497972E-2</v>
      </c>
      <c r="W1242">
        <v>3.7142703159400769E-2</v>
      </c>
      <c r="X1242">
        <v>7.3521027773538784E-3</v>
      </c>
      <c r="Y1242">
        <v>1.7249408594534935E-3</v>
      </c>
    </row>
    <row r="1243" spans="1:25" x14ac:dyDescent="0.25">
      <c r="A1243" s="1096"/>
      <c r="B1243" s="1455">
        <v>993</v>
      </c>
      <c r="C1243" s="1100">
        <v>0.99813709898634351</v>
      </c>
      <c r="D1243" s="1100">
        <v>0.9894004132047749</v>
      </c>
      <c r="E1243" s="1100">
        <v>1.0024050203459607</v>
      </c>
      <c r="F1243" s="1100">
        <v>1.0208767216159993</v>
      </c>
      <c r="G1243" s="1100">
        <v>0.96232172462920529</v>
      </c>
      <c r="H1243" s="1100">
        <v>1.0234281094708508</v>
      </c>
      <c r="I1243" s="1100">
        <v>0.98934549285859341</v>
      </c>
      <c r="K1243">
        <v>1.339502710190893</v>
      </c>
      <c r="L1243">
        <v>0</v>
      </c>
      <c r="M1243">
        <v>6.1580160773219456E-4</v>
      </c>
      <c r="N1243">
        <v>5.7042092082185747E-2</v>
      </c>
      <c r="O1243">
        <v>7.8102441741422675E-3</v>
      </c>
      <c r="P1243">
        <v>1.6546160191269369E-2</v>
      </c>
      <c r="Q1243">
        <v>4.532880312753722E-4</v>
      </c>
      <c r="R1243">
        <v>6.1402608067189564E-4</v>
      </c>
      <c r="S1243">
        <v>6.109559990658793E-2</v>
      </c>
      <c r="T1243">
        <v>1.0538584897484853</v>
      </c>
      <c r="U1243">
        <v>0</v>
      </c>
      <c r="V1243">
        <v>9.5945450758403827E-2</v>
      </c>
      <c r="W1243">
        <v>3.7419301780094366E-2</v>
      </c>
      <c r="X1243">
        <v>7.6626824675637513E-3</v>
      </c>
      <c r="Y1243">
        <v>1.6711765779458066E-3</v>
      </c>
    </row>
    <row r="1244" spans="1:25" x14ac:dyDescent="0.25">
      <c r="A1244" s="1096"/>
      <c r="B1244" s="1455">
        <v>994</v>
      </c>
      <c r="C1244" s="1100">
        <v>0.97166167911245527</v>
      </c>
      <c r="D1244" s="1100">
        <v>0.97200118421446757</v>
      </c>
      <c r="E1244" s="1100">
        <v>1.0066680398158567</v>
      </c>
      <c r="F1244" s="1100">
        <v>0.97666952467189427</v>
      </c>
      <c r="G1244" s="1100">
        <v>0.99447920330591055</v>
      </c>
      <c r="H1244" s="1100">
        <v>1.0138414460803939</v>
      </c>
      <c r="I1244" s="1100">
        <v>0.99663493224677835</v>
      </c>
      <c r="K1244">
        <v>1.3007911691305565</v>
      </c>
      <c r="L1244">
        <v>0</v>
      </c>
      <c r="M1244">
        <v>6.2555814076373066E-4</v>
      </c>
      <c r="N1244">
        <v>5.8695129475633254E-2</v>
      </c>
      <c r="O1244">
        <v>8.0812852419058362E-3</v>
      </c>
      <c r="P1244">
        <v>1.6035472342597359E-2</v>
      </c>
      <c r="Q1244">
        <v>4.7102765693385996E-4</v>
      </c>
      <c r="R1244">
        <v>6.2373742791411026E-4</v>
      </c>
      <c r="S1244">
        <v>6.3526721154423524E-2</v>
      </c>
      <c r="T1244">
        <v>1.0080997113790164</v>
      </c>
      <c r="U1244">
        <v>0</v>
      </c>
      <c r="V1244">
        <v>9.8182521847557838E-2</v>
      </c>
      <c r="W1244">
        <v>3.8406599485977931E-2</v>
      </c>
      <c r="X1244">
        <v>7.5969135955655399E-3</v>
      </c>
      <c r="Y1244">
        <v>1.6976076637943561E-3</v>
      </c>
    </row>
    <row r="1245" spans="1:25" x14ac:dyDescent="0.25">
      <c r="A1245" s="1096"/>
      <c r="B1245" s="1455">
        <v>995</v>
      </c>
      <c r="C1245" s="1100">
        <v>1.0148364749126395</v>
      </c>
      <c r="D1245" s="1100">
        <v>0.96639636674608909</v>
      </c>
      <c r="E1245" s="1100">
        <v>0.96428814564490595</v>
      </c>
      <c r="F1245" s="1100">
        <v>0.9538210344223137</v>
      </c>
      <c r="G1245" s="1100">
        <v>0.98292398818975424</v>
      </c>
      <c r="H1245" s="1100">
        <v>1.0082111760913335</v>
      </c>
      <c r="I1245" s="1100">
        <v>0.97327939474637515</v>
      </c>
      <c r="K1245">
        <v>1.2633596200793513</v>
      </c>
      <c r="L1245">
        <v>0</v>
      </c>
      <c r="M1245">
        <v>6.5172395438541639E-4</v>
      </c>
      <c r="N1245">
        <v>5.379290886047574E-2</v>
      </c>
      <c r="O1245">
        <v>7.7450293578830102E-3</v>
      </c>
      <c r="P1245">
        <v>1.5155410483919404E-2</v>
      </c>
      <c r="Q1245">
        <v>4.3245222382746237E-4</v>
      </c>
      <c r="R1245">
        <v>6.4981649194532866E-4</v>
      </c>
      <c r="S1245">
        <v>5.9375523063963674E-2</v>
      </c>
      <c r="T1245">
        <v>0.98573667709769319</v>
      </c>
      <c r="U1245">
        <v>0</v>
      </c>
      <c r="V1245">
        <v>9.6491737927409296E-2</v>
      </c>
      <c r="W1245">
        <v>3.6107292704461502E-2</v>
      </c>
      <c r="X1245">
        <v>6.755909543030441E-3</v>
      </c>
      <c r="Y1245">
        <v>1.7685862791261856E-3</v>
      </c>
    </row>
    <row r="1246" spans="1:25" x14ac:dyDescent="0.25">
      <c r="A1246" s="1096"/>
      <c r="B1246" s="1455">
        <v>996</v>
      </c>
      <c r="C1246" s="1100">
        <v>0.99375578705424816</v>
      </c>
      <c r="D1246" s="1100">
        <v>0.9762072551985691</v>
      </c>
      <c r="E1246" s="1100">
        <v>0.98340238892431786</v>
      </c>
      <c r="F1246" s="1100">
        <v>0.98281213861147254</v>
      </c>
      <c r="G1246" s="1100">
        <v>0.99138436122653451</v>
      </c>
      <c r="H1246" s="1100">
        <v>0.99796487483425922</v>
      </c>
      <c r="I1246" s="1100">
        <v>1.0202793897020959</v>
      </c>
      <c r="K1246">
        <v>1.300329121205926</v>
      </c>
      <c r="L1246">
        <v>0</v>
      </c>
      <c r="M1246">
        <v>6.3072638656965668E-4</v>
      </c>
      <c r="N1246">
        <v>5.5159113548301344E-2</v>
      </c>
      <c r="O1246">
        <v>7.8821809463871014E-3</v>
      </c>
      <c r="P1246">
        <v>1.5834661968779747E-2</v>
      </c>
      <c r="Q1246">
        <v>4.4877414353491863E-4</v>
      </c>
      <c r="R1246">
        <v>6.2886142639219356E-4</v>
      </c>
      <c r="S1246">
        <v>6.2914716890204711E-2</v>
      </c>
      <c r="T1246">
        <v>1.0151239918823041</v>
      </c>
      <c r="U1246">
        <v>0</v>
      </c>
      <c r="V1246">
        <v>9.7439765646563745E-2</v>
      </c>
      <c r="W1246">
        <v>3.6597390707490282E-2</v>
      </c>
      <c r="X1246">
        <v>7.2188369340097959E-3</v>
      </c>
      <c r="Y1246">
        <v>1.7115534985260551E-3</v>
      </c>
    </row>
    <row r="1247" spans="1:25" x14ac:dyDescent="0.25">
      <c r="A1247" s="1096"/>
      <c r="B1247" s="1455">
        <v>997</v>
      </c>
      <c r="C1247" s="1100">
        <v>0.99642776675796252</v>
      </c>
      <c r="D1247" s="1100">
        <v>0.96581172340153876</v>
      </c>
      <c r="E1247" s="1100">
        <v>1.0237182859057312</v>
      </c>
      <c r="F1247" s="1100">
        <v>1.0212622915563665</v>
      </c>
      <c r="G1247" s="1100">
        <v>0.98719700842556035</v>
      </c>
      <c r="H1247" s="1100">
        <v>0.97354077640152814</v>
      </c>
      <c r="I1247" s="1100">
        <v>1.0024138417171213</v>
      </c>
      <c r="K1247">
        <v>1.339093362280301</v>
      </c>
      <c r="L1247">
        <v>0</v>
      </c>
      <c r="M1247">
        <v>5.6680680516107474E-4</v>
      </c>
      <c r="N1247">
        <v>5.598395863001767E-2</v>
      </c>
      <c r="O1247">
        <v>7.9048572652413423E-3</v>
      </c>
      <c r="P1247">
        <v>1.6825147057160341E-2</v>
      </c>
      <c r="Q1247">
        <v>4.6864180392331328E-4</v>
      </c>
      <c r="R1247">
        <v>5.6508879895767025E-4</v>
      </c>
      <c r="S1247">
        <v>6.1282223704167457E-2</v>
      </c>
      <c r="T1247">
        <v>1.0536170876788582</v>
      </c>
      <c r="U1247">
        <v>0</v>
      </c>
      <c r="V1247">
        <v>9.72153028447095E-2</v>
      </c>
      <c r="W1247">
        <v>3.6267592268949649E-2</v>
      </c>
      <c r="X1247">
        <v>7.9922836041857927E-3</v>
      </c>
      <c r="Y1247">
        <v>1.5379854292902658E-3</v>
      </c>
    </row>
    <row r="1248" spans="1:25" x14ac:dyDescent="0.25">
      <c r="A1248" s="1096"/>
      <c r="B1248" s="1455">
        <v>998</v>
      </c>
      <c r="C1248" s="1100">
        <v>0.99901988746342119</v>
      </c>
      <c r="D1248" s="1100">
        <v>0.99951027428189321</v>
      </c>
      <c r="E1248" s="1100">
        <v>0.98855898763573058</v>
      </c>
      <c r="F1248" s="1100">
        <v>1.0024591999650714</v>
      </c>
      <c r="G1248" s="1100">
        <v>1.0017760815227799</v>
      </c>
      <c r="H1248" s="1100">
        <v>0.9960746541379023</v>
      </c>
      <c r="I1248" s="1100">
        <v>0.99110053067731374</v>
      </c>
      <c r="K1248">
        <v>1.3169932672601576</v>
      </c>
      <c r="L1248">
        <v>0</v>
      </c>
      <c r="M1248">
        <v>6.1374773757471776E-4</v>
      </c>
      <c r="N1248">
        <v>5.4517592725514437E-2</v>
      </c>
      <c r="O1248">
        <v>7.768274122898277E-3</v>
      </c>
      <c r="P1248">
        <v>1.6134114278255254E-2</v>
      </c>
      <c r="Q1248">
        <v>4.4460528278377989E-4</v>
      </c>
      <c r="R1248">
        <v>6.1192953682176867E-4</v>
      </c>
      <c r="S1248">
        <v>5.997606079228384E-2</v>
      </c>
      <c r="T1248">
        <v>1.0352609604836174</v>
      </c>
      <c r="U1248">
        <v>0</v>
      </c>
      <c r="V1248">
        <v>9.7816782971507713E-2</v>
      </c>
      <c r="W1248">
        <v>3.6059828245929876E-2</v>
      </c>
      <c r="X1248">
        <v>7.3513960814080336E-3</v>
      </c>
      <c r="Y1248">
        <v>1.6654704767112549E-3</v>
      </c>
    </row>
    <row r="1249" spans="1:25" x14ac:dyDescent="0.25">
      <c r="A1249" s="1096"/>
      <c r="B1249" s="1455">
        <v>999</v>
      </c>
      <c r="C1249" s="1100">
        <v>0.97625442897659043</v>
      </c>
      <c r="D1249" s="1100">
        <v>1.0165148601559832</v>
      </c>
      <c r="E1249" s="1100">
        <v>1.0196913423313343</v>
      </c>
      <c r="F1249" s="1100">
        <v>1.0104479532871378</v>
      </c>
      <c r="G1249" s="1100">
        <v>0.98206251711707671</v>
      </c>
      <c r="H1249" s="1100">
        <v>0.99223365236389205</v>
      </c>
      <c r="I1249" s="1100">
        <v>0.9581943248742234</v>
      </c>
      <c r="K1249">
        <v>1.3269513903146373</v>
      </c>
      <c r="L1249">
        <v>0</v>
      </c>
      <c r="M1249">
        <v>5.8254425612196408E-4</v>
      </c>
      <c r="N1249">
        <v>5.6846929943997627E-2</v>
      </c>
      <c r="O1249">
        <v>7.9037442516790516E-3</v>
      </c>
      <c r="P1249">
        <v>1.6590981640483907E-2</v>
      </c>
      <c r="Q1249">
        <v>4.6670544146720316E-4</v>
      </c>
      <c r="R1249">
        <v>5.8081181377665954E-4</v>
      </c>
      <c r="S1249">
        <v>5.8717560158024991E-2</v>
      </c>
      <c r="T1249">
        <v>1.0425786301462383</v>
      </c>
      <c r="U1249">
        <v>0</v>
      </c>
      <c r="V1249">
        <v>9.7476471611806462E-2</v>
      </c>
      <c r="W1249">
        <v>3.6913391864918738E-2</v>
      </c>
      <c r="X1249">
        <v>7.8779294058307341E-3</v>
      </c>
      <c r="Y1249">
        <v>1.5807782925371125E-3</v>
      </c>
    </row>
    <row r="1250" spans="1:25" x14ac:dyDescent="0.25">
      <c r="A1250" s="1096"/>
      <c r="B1250" s="1455">
        <v>1000</v>
      </c>
      <c r="C1250" s="1100">
        <v>0.98767614180289265</v>
      </c>
      <c r="D1250" s="1100">
        <v>0.97285444432860224</v>
      </c>
      <c r="E1250" s="1100">
        <v>0.97959856887511065</v>
      </c>
      <c r="F1250" s="1100">
        <v>0.96562556661215537</v>
      </c>
      <c r="G1250" s="1100">
        <v>1.0155940994977415</v>
      </c>
      <c r="H1250" s="1100">
        <v>0.99004329228674304</v>
      </c>
      <c r="I1250" s="1100">
        <v>0.96673399458655151</v>
      </c>
      <c r="K1250">
        <v>1.2802799418789366</v>
      </c>
      <c r="L1250">
        <v>0</v>
      </c>
      <c r="M1250">
        <v>6.3541791700665723E-4</v>
      </c>
      <c r="N1250">
        <v>5.4932283994399714E-2</v>
      </c>
      <c r="O1250">
        <v>7.9406682763677166E-3</v>
      </c>
      <c r="P1250">
        <v>1.5528633876340197E-2</v>
      </c>
      <c r="Q1250">
        <v>4.5036104005802036E-4</v>
      </c>
      <c r="R1250">
        <v>6.3352405169633255E-4</v>
      </c>
      <c r="S1250">
        <v>5.9847818273114251E-2</v>
      </c>
      <c r="T1250">
        <v>0.99748373734253448</v>
      </c>
      <c r="U1250">
        <v>0</v>
      </c>
      <c r="V1250">
        <v>9.8760048200328923E-2</v>
      </c>
      <c r="W1250">
        <v>3.6530601144819909E-2</v>
      </c>
      <c r="X1250">
        <v>7.0834399687133903E-3</v>
      </c>
      <c r="Y1250">
        <v>1.724243627569903E-3</v>
      </c>
    </row>
    <row r="1251" spans="1:25" x14ac:dyDescent="0.25">
      <c r="A1251" s="1096"/>
      <c r="B1251" s="1455">
        <v>1001</v>
      </c>
      <c r="C1251" s="1100">
        <v>0.99841112906796359</v>
      </c>
      <c r="D1251" s="1100">
        <v>0.96326949046086197</v>
      </c>
      <c r="E1251" s="1100">
        <v>0.99635629392764857</v>
      </c>
      <c r="F1251" s="1100">
        <v>1.0072673641238941</v>
      </c>
      <c r="G1251" s="1100">
        <v>1.0233383395109399</v>
      </c>
      <c r="H1251" s="1100">
        <v>0.99530682569873674</v>
      </c>
      <c r="I1251" s="1100">
        <v>0.98076032969579274</v>
      </c>
      <c r="K1251">
        <v>1.325706468469857</v>
      </c>
      <c r="L1251">
        <v>0</v>
      </c>
      <c r="M1251">
        <v>6.1280102946012591E-4</v>
      </c>
      <c r="N1251">
        <v>5.5731630888554665E-2</v>
      </c>
      <c r="O1251">
        <v>7.8906365097027066E-3</v>
      </c>
      <c r="P1251">
        <v>1.6315698873904352E-2</v>
      </c>
      <c r="Q1251">
        <v>4.5517692433048515E-4</v>
      </c>
      <c r="R1251">
        <v>6.1098423280291113E-4</v>
      </c>
      <c r="S1251">
        <v>6.0560660591977122E-2</v>
      </c>
      <c r="T1251">
        <v>1.0399909125311828</v>
      </c>
      <c r="U1251">
        <v>0</v>
      </c>
      <c r="V1251">
        <v>9.8883678901518418E-2</v>
      </c>
      <c r="W1251">
        <v>3.6691380671030074E-2</v>
      </c>
      <c r="X1251">
        <v>7.5256117035206174E-3</v>
      </c>
      <c r="Y1251">
        <v>1.6628976707913112E-3</v>
      </c>
    </row>
    <row r="1252" spans="1:25" x14ac:dyDescent="0.25">
      <c r="A1252" s="1096"/>
      <c r="B1252" s="1455">
        <v>1002</v>
      </c>
      <c r="C1252" s="1100">
        <v>1.0244787774056634</v>
      </c>
      <c r="D1252" s="1100">
        <v>0.99934966895192834</v>
      </c>
      <c r="E1252" s="1100">
        <v>1.0255664449165824</v>
      </c>
      <c r="F1252" s="1100">
        <v>0.95835131357804315</v>
      </c>
      <c r="G1252" s="1100">
        <v>1.0019088352723617</v>
      </c>
      <c r="H1252" s="1100">
        <v>1.0183277523427308</v>
      </c>
      <c r="I1252" s="1100">
        <v>1.0096886049772644</v>
      </c>
      <c r="K1252">
        <v>1.2720618544217728</v>
      </c>
      <c r="L1252">
        <v>0</v>
      </c>
      <c r="M1252">
        <v>5.6664380386237882E-4</v>
      </c>
      <c r="N1252">
        <v>5.628819760540326E-2</v>
      </c>
      <c r="O1252">
        <v>7.5845941458131784E-3</v>
      </c>
      <c r="P1252">
        <v>1.5931770746650746E-2</v>
      </c>
      <c r="Q1252">
        <v>4.5047972583067632E-4</v>
      </c>
      <c r="R1252">
        <v>5.6500182945819699E-4</v>
      </c>
      <c r="S1252">
        <v>6.0293404920219486E-2</v>
      </c>
      <c r="T1252">
        <v>0.98866159172163159</v>
      </c>
      <c r="U1252">
        <v>0</v>
      </c>
      <c r="V1252">
        <v>9.7247925956194955E-2</v>
      </c>
      <c r="W1252">
        <v>3.6425421240661837E-2</v>
      </c>
      <c r="X1252">
        <v>7.6423616067871486E-3</v>
      </c>
      <c r="Y1252">
        <v>1.537748726982188E-3</v>
      </c>
    </row>
    <row r="1253" spans="1:25" x14ac:dyDescent="0.25">
      <c r="A1253" s="1096"/>
      <c r="B1253" s="1455">
        <v>1003</v>
      </c>
      <c r="C1253" s="1100">
        <v>0.96723993967673139</v>
      </c>
      <c r="D1253" s="1100">
        <v>0.98416474726471526</v>
      </c>
      <c r="E1253" s="1100">
        <v>0.99625138080349551</v>
      </c>
      <c r="F1253" s="1100">
        <v>0.99128566442036981</v>
      </c>
      <c r="G1253" s="1100">
        <v>0.98816832135584509</v>
      </c>
      <c r="H1253" s="1100">
        <v>1.0053825829540801</v>
      </c>
      <c r="I1253" s="1100">
        <v>1.0230112505028552</v>
      </c>
      <c r="K1253">
        <v>1.3157027074614793</v>
      </c>
      <c r="L1253">
        <v>0</v>
      </c>
      <c r="M1253">
        <v>6.3362967872428796E-4</v>
      </c>
      <c r="N1253">
        <v>5.7609356658896382E-2</v>
      </c>
      <c r="O1253">
        <v>8.0752837141261011E-3</v>
      </c>
      <c r="P1253">
        <v>1.6135255776749916E-2</v>
      </c>
      <c r="Q1253">
        <v>4.6577920568429207E-4</v>
      </c>
      <c r="R1253">
        <v>6.3176995696659246E-4</v>
      </c>
      <c r="S1253">
        <v>6.4784992133542163E-2</v>
      </c>
      <c r="T1253">
        <v>1.0234931151494981</v>
      </c>
      <c r="U1253">
        <v>0</v>
      </c>
      <c r="V1253">
        <v>9.7982087331768219E-2</v>
      </c>
      <c r="W1253">
        <v>3.7929968928745159E-2</v>
      </c>
      <c r="X1253">
        <v>7.5092587242730369E-3</v>
      </c>
      <c r="Y1253">
        <v>1.7194695599527226E-3</v>
      </c>
    </row>
    <row r="1254" spans="1:25" x14ac:dyDescent="0.25">
      <c r="A1254" s="1096"/>
      <c r="B1254" s="1455">
        <v>1004</v>
      </c>
      <c r="C1254" s="1100">
        <v>1.0114523400673576</v>
      </c>
      <c r="D1254" s="1100">
        <v>0.97422767766550755</v>
      </c>
      <c r="E1254" s="1100">
        <v>1.002557357124821</v>
      </c>
      <c r="F1254" s="1100">
        <v>1.02936465192795</v>
      </c>
      <c r="G1254" s="1100">
        <v>1.0000346552669752</v>
      </c>
      <c r="H1254" s="1100">
        <v>1.0171203337016037</v>
      </c>
      <c r="I1254" s="1100">
        <v>0.98145127441036828</v>
      </c>
      <c r="K1254">
        <v>1.3476236622359574</v>
      </c>
      <c r="L1254">
        <v>0</v>
      </c>
      <c r="M1254">
        <v>6.07502334057687E-4</v>
      </c>
      <c r="N1254">
        <v>5.6298216122603134E-2</v>
      </c>
      <c r="O1254">
        <v>7.755255821087108E-3</v>
      </c>
      <c r="P1254">
        <v>1.6674821482895584E-2</v>
      </c>
      <c r="Q1254">
        <v>4.5016546990351945E-4</v>
      </c>
      <c r="R1254">
        <v>6.0573987339451372E-4</v>
      </c>
      <c r="S1254">
        <v>6.0118332912258043E-2</v>
      </c>
      <c r="T1254">
        <v>1.062615986274497</v>
      </c>
      <c r="U1254">
        <v>0</v>
      </c>
      <c r="V1254">
        <v>9.7443207608120752E-2</v>
      </c>
      <c r="W1254">
        <v>3.692798610865769E-2</v>
      </c>
      <c r="X1254">
        <v>7.6928286433142288E-3</v>
      </c>
      <c r="Y1254">
        <v>1.6486242532842681E-3</v>
      </c>
    </row>
    <row r="1255" spans="1:25" x14ac:dyDescent="0.25">
      <c r="A1255" s="1096"/>
      <c r="B1255" s="1455">
        <v>1005</v>
      </c>
      <c r="C1255" s="1100">
        <v>1.007026285323487</v>
      </c>
      <c r="D1255" s="1100">
        <v>1.0357765436622222</v>
      </c>
      <c r="E1255" s="1100">
        <v>1.020000850452514</v>
      </c>
      <c r="F1255" s="1100">
        <v>1.0441091841591694</v>
      </c>
      <c r="G1255" s="1100">
        <v>1.0400855382655758</v>
      </c>
      <c r="H1255" s="1100">
        <v>1.0375195333656393</v>
      </c>
      <c r="I1255" s="1100">
        <v>0.98584437073305031</v>
      </c>
      <c r="K1255">
        <v>1.3652507332440582</v>
      </c>
      <c r="L1255">
        <v>0</v>
      </c>
      <c r="M1255">
        <v>5.8572378105621473E-4</v>
      </c>
      <c r="N1255">
        <v>5.7218043082578399E-2</v>
      </c>
      <c r="O1255">
        <v>7.6049859279866622E-3</v>
      </c>
      <c r="P1255">
        <v>1.7111786241363589E-2</v>
      </c>
      <c r="Q1255">
        <v>4.4920237332039348E-4</v>
      </c>
      <c r="R1255">
        <v>5.8405791379324867E-4</v>
      </c>
      <c r="S1255">
        <v>5.9315024367027888E-2</v>
      </c>
      <c r="T1255">
        <v>1.0773008075577186</v>
      </c>
      <c r="U1255">
        <v>0</v>
      </c>
      <c r="V1255">
        <v>9.9508203704730805E-2</v>
      </c>
      <c r="W1255">
        <v>3.7147645053613454E-2</v>
      </c>
      <c r="X1255">
        <v>8.0070876962762289E-3</v>
      </c>
      <c r="Y1255">
        <v>1.5896131067056857E-3</v>
      </c>
    </row>
    <row r="1256" spans="1:25" x14ac:dyDescent="0.25">
      <c r="A1256" s="1096"/>
      <c r="B1256" s="1455">
        <v>1006</v>
      </c>
      <c r="C1256" s="1100">
        <v>0.99372253912786535</v>
      </c>
      <c r="D1256" s="1100">
        <v>0.99249071897938879</v>
      </c>
      <c r="E1256" s="1100">
        <v>1.0244710391838492</v>
      </c>
      <c r="F1256" s="1100">
        <v>0.95757311536092538</v>
      </c>
      <c r="G1256" s="1100">
        <v>0.96287558510366922</v>
      </c>
      <c r="H1256" s="1100">
        <v>1.0066716020986581</v>
      </c>
      <c r="I1256" s="1100">
        <v>0.97591299062805081</v>
      </c>
      <c r="K1256">
        <v>1.2720658033456806</v>
      </c>
      <c r="L1256">
        <v>0</v>
      </c>
      <c r="M1256">
        <v>5.8041040963659283E-4</v>
      </c>
      <c r="N1256">
        <v>5.7463640234175328E-2</v>
      </c>
      <c r="O1256">
        <v>7.8406395603397155E-3</v>
      </c>
      <c r="P1256">
        <v>1.5887697944382693E-2</v>
      </c>
      <c r="Q1256">
        <v>4.6518184193762092E-4</v>
      </c>
      <c r="R1256">
        <v>5.7870906931926729E-4</v>
      </c>
      <c r="S1256">
        <v>5.9950247676118319E-2</v>
      </c>
      <c r="T1256">
        <v>0.98788922357430864</v>
      </c>
      <c r="U1256">
        <v>0</v>
      </c>
      <c r="V1256">
        <v>9.6107096961283514E-2</v>
      </c>
      <c r="W1256">
        <v>3.7209823139801895E-2</v>
      </c>
      <c r="X1256">
        <v>7.6788984383566539E-3</v>
      </c>
      <c r="Y1256">
        <v>1.5750553152936153E-3</v>
      </c>
    </row>
    <row r="1257" spans="1:25" x14ac:dyDescent="0.25">
      <c r="A1257" s="1096"/>
      <c r="B1257" s="1455">
        <v>1007</v>
      </c>
      <c r="C1257" s="1100">
        <v>1.0034626389523691</v>
      </c>
      <c r="D1257" s="1100">
        <v>1.0024793108812469</v>
      </c>
      <c r="E1257" s="1100">
        <v>0.98651498943683269</v>
      </c>
      <c r="F1257" s="1100">
        <v>0.96667237592776079</v>
      </c>
      <c r="G1257" s="1100">
        <v>1.0413733250581083</v>
      </c>
      <c r="H1257" s="1100">
        <v>0.97580853368699827</v>
      </c>
      <c r="I1257" s="1100">
        <v>0.98485247636616946</v>
      </c>
      <c r="K1257">
        <v>1.2772626146489903</v>
      </c>
      <c r="L1257">
        <v>0</v>
      </c>
      <c r="M1257">
        <v>6.0042401827946617E-4</v>
      </c>
      <c r="N1257">
        <v>5.3002168837836358E-2</v>
      </c>
      <c r="O1257">
        <v>7.7242118624403005E-3</v>
      </c>
      <c r="P1257">
        <v>1.5617260134408164E-2</v>
      </c>
      <c r="Q1257">
        <v>4.4116979672518473E-4</v>
      </c>
      <c r="R1257">
        <v>5.986083468357044E-4</v>
      </c>
      <c r="S1257">
        <v>5.8631169890565875E-2</v>
      </c>
      <c r="T1257">
        <v>0.99836269257640053</v>
      </c>
      <c r="U1257">
        <v>0</v>
      </c>
      <c r="V1257">
        <v>9.9620124729420487E-2</v>
      </c>
      <c r="W1257">
        <v>3.5100511576410469E-2</v>
      </c>
      <c r="X1257">
        <v>7.1359063273280631E-3</v>
      </c>
      <c r="Y1257">
        <v>1.6292145888982868E-3</v>
      </c>
    </row>
    <row r="1258" spans="1:25" x14ac:dyDescent="0.25">
      <c r="A1258" s="1096"/>
      <c r="B1258" s="1455">
        <v>1008</v>
      </c>
      <c r="C1258" s="1100">
        <v>0.99774521780036896</v>
      </c>
      <c r="D1258" s="1100">
        <v>0.97501717821699718</v>
      </c>
      <c r="E1258" s="1100">
        <v>1.0436096841926976</v>
      </c>
      <c r="F1258" s="1100">
        <v>0.99374473051461198</v>
      </c>
      <c r="G1258" s="1100">
        <v>0.97618360250207437</v>
      </c>
      <c r="H1258" s="1100">
        <v>0.98521004810995316</v>
      </c>
      <c r="I1258" s="1100">
        <v>1.0143842546011854</v>
      </c>
      <c r="K1258">
        <v>1.3121722101624493</v>
      </c>
      <c r="L1258">
        <v>0</v>
      </c>
      <c r="M1258">
        <v>5.4749110485377941E-4</v>
      </c>
      <c r="N1258">
        <v>5.741909363592515E-2</v>
      </c>
      <c r="O1258">
        <v>7.869489676755468E-3</v>
      </c>
      <c r="P1258">
        <v>1.6663980083960889E-2</v>
      </c>
      <c r="Q1258">
        <v>4.7579243905082527E-4</v>
      </c>
      <c r="R1258">
        <v>5.458513004312828E-4</v>
      </c>
      <c r="S1258">
        <v>6.2002319002413903E-2</v>
      </c>
      <c r="T1258">
        <v>1.0246590934822719</v>
      </c>
      <c r="U1258">
        <v>0</v>
      </c>
      <c r="V1258">
        <v>9.6671923180641758E-2</v>
      </c>
      <c r="W1258">
        <v>3.6771488505530261E-2</v>
      </c>
      <c r="X1258">
        <v>8.1550426603808346E-3</v>
      </c>
      <c r="Y1258">
        <v>1.4856272999411249E-3</v>
      </c>
    </row>
    <row r="1259" spans="1:25" x14ac:dyDescent="0.25">
      <c r="A1259" s="1096"/>
      <c r="B1259" s="1455">
        <v>1009</v>
      </c>
      <c r="C1259" s="1100">
        <v>1.0082458336623357</v>
      </c>
      <c r="D1259" s="1100">
        <v>0.97909245767372133</v>
      </c>
      <c r="E1259" s="1100">
        <v>0.98442878417529656</v>
      </c>
      <c r="F1259" s="1100">
        <v>1.0188373021772006</v>
      </c>
      <c r="G1259" s="1100">
        <v>0.98644167515957615</v>
      </c>
      <c r="H1259" s="1100">
        <v>1.0005873651017525</v>
      </c>
      <c r="I1259" s="1100">
        <v>0.9899862004508897</v>
      </c>
      <c r="K1259">
        <v>1.3334902975175273</v>
      </c>
      <c r="L1259">
        <v>0</v>
      </c>
      <c r="M1259">
        <v>6.2123943731011953E-4</v>
      </c>
      <c r="N1259">
        <v>5.4498806866844787E-2</v>
      </c>
      <c r="O1259">
        <v>7.7599877153659742E-3</v>
      </c>
      <c r="P1259">
        <v>1.6302861766656029E-2</v>
      </c>
      <c r="Q1259">
        <v>4.4227719013924444E-4</v>
      </c>
      <c r="R1259">
        <v>6.1940734301881592E-4</v>
      </c>
      <c r="S1259">
        <v>6.0154339349953997E-2</v>
      </c>
      <c r="T1259">
        <v>1.0523019238944429</v>
      </c>
      <c r="U1259">
        <v>0</v>
      </c>
      <c r="V1259">
        <v>9.6843499564840563E-2</v>
      </c>
      <c r="W1259">
        <v>3.6136951565516849E-2</v>
      </c>
      <c r="X1259">
        <v>7.3656590979378237E-3</v>
      </c>
      <c r="Y1259">
        <v>1.6858226001214675E-3</v>
      </c>
    </row>
    <row r="1260" spans="1:25" x14ac:dyDescent="0.25">
      <c r="A1260" s="1096"/>
      <c r="B1260" s="1455">
        <v>1010</v>
      </c>
      <c r="C1260" s="1100">
        <v>1.0190772995995749</v>
      </c>
      <c r="D1260" s="1100">
        <v>1.0071769509320558</v>
      </c>
      <c r="E1260" s="1100">
        <v>1.0057607953282126</v>
      </c>
      <c r="F1260" s="1100">
        <v>0.99901631168821237</v>
      </c>
      <c r="G1260" s="1100">
        <v>1.0134993392537937</v>
      </c>
      <c r="H1260" s="1100">
        <v>1.0438905387973139</v>
      </c>
      <c r="I1260" s="1100">
        <v>0.99641099174779779</v>
      </c>
      <c r="K1260">
        <v>1.3168888556080074</v>
      </c>
      <c r="L1260">
        <v>0</v>
      </c>
      <c r="M1260">
        <v>6.0660088462470281E-4</v>
      </c>
      <c r="N1260">
        <v>5.6765447378734207E-2</v>
      </c>
      <c r="O1260">
        <v>7.5962687189339035E-3</v>
      </c>
      <c r="P1260">
        <v>1.6293222282620794E-2</v>
      </c>
      <c r="Q1260">
        <v>4.4235566983721636E-4</v>
      </c>
      <c r="R1260">
        <v>6.0488616982503469E-4</v>
      </c>
      <c r="S1260">
        <v>6.0308789779511263E-2</v>
      </c>
      <c r="T1260">
        <v>1.0311924499697018</v>
      </c>
      <c r="U1260">
        <v>0</v>
      </c>
      <c r="V1260">
        <v>9.7914829525505939E-2</v>
      </c>
      <c r="W1260">
        <v>3.7163866370414626E-2</v>
      </c>
      <c r="X1260">
        <v>7.5670398739547395E-3</v>
      </c>
      <c r="Y1260">
        <v>1.6463007535914517E-3</v>
      </c>
    </row>
    <row r="1261" spans="1:25" x14ac:dyDescent="0.25">
      <c r="A1261" s="1096"/>
      <c r="B1261" s="1455">
        <v>1011</v>
      </c>
      <c r="C1261" s="1100">
        <v>0.98529916762948178</v>
      </c>
      <c r="D1261" s="1100">
        <v>1.0002081643563698</v>
      </c>
      <c r="E1261" s="1100">
        <v>1.0141581211376789</v>
      </c>
      <c r="F1261" s="1100">
        <v>1.0255555121339659</v>
      </c>
      <c r="G1261" s="1100">
        <v>1.0158125025509368</v>
      </c>
      <c r="H1261" s="1100">
        <v>1.0190693231684715</v>
      </c>
      <c r="I1261" s="1100">
        <v>1.0253049410129678</v>
      </c>
      <c r="K1261">
        <v>1.3512246146267988</v>
      </c>
      <c r="L1261">
        <v>0</v>
      </c>
      <c r="M1261">
        <v>6.0356013026357223E-4</v>
      </c>
      <c r="N1261">
        <v>5.7927079825192733E-2</v>
      </c>
      <c r="O1261">
        <v>7.8806304246336889E-3</v>
      </c>
      <c r="P1261">
        <v>1.6827932345921674E-2</v>
      </c>
      <c r="Q1261">
        <v>4.6278355829236571E-4</v>
      </c>
      <c r="R1261">
        <v>6.0181245542525867E-4</v>
      </c>
      <c r="S1261">
        <v>6.3643116796770538E-2</v>
      </c>
      <c r="T1261">
        <v>1.0583326372504545</v>
      </c>
      <c r="U1261">
        <v>0</v>
      </c>
      <c r="V1261">
        <v>9.8870020765825503E-2</v>
      </c>
      <c r="W1261">
        <v>3.7737045017027487E-2</v>
      </c>
      <c r="X1261">
        <v>7.9071812012740834E-3</v>
      </c>
      <c r="Y1261">
        <v>1.6379351162449408E-3</v>
      </c>
    </row>
    <row r="1262" spans="1:25" x14ac:dyDescent="0.25">
      <c r="A1262" s="1096"/>
      <c r="B1262" s="1455">
        <v>1012</v>
      </c>
      <c r="C1262" s="1100">
        <v>1.0173487417751743</v>
      </c>
      <c r="D1262" s="1100">
        <v>0.98793189192191111</v>
      </c>
      <c r="E1262" s="1100">
        <v>1.0294317671309519</v>
      </c>
      <c r="F1262" s="1100">
        <v>1.0060231911392545</v>
      </c>
      <c r="G1262" s="1100">
        <v>1.0350207105025806</v>
      </c>
      <c r="H1262" s="1100">
        <v>1.0237342675277228</v>
      </c>
      <c r="I1262" s="1100">
        <v>1.0145799432626221</v>
      </c>
      <c r="K1262">
        <v>1.3272235746565515</v>
      </c>
      <c r="L1262">
        <v>0</v>
      </c>
      <c r="M1262">
        <v>5.7166603801083826E-4</v>
      </c>
      <c r="N1262">
        <v>5.7453661462914668E-2</v>
      </c>
      <c r="O1262">
        <v>7.6738783646824486E-3</v>
      </c>
      <c r="P1262">
        <v>1.6702926188230219E-2</v>
      </c>
      <c r="Q1262">
        <v>4.5753024200301994E-4</v>
      </c>
      <c r="R1262">
        <v>5.7001825898807029E-4</v>
      </c>
      <c r="S1262">
        <v>6.1555883053625138E-2</v>
      </c>
      <c r="T1262">
        <v>1.0377286408826403</v>
      </c>
      <c r="U1262">
        <v>0</v>
      </c>
      <c r="V1262">
        <v>9.9024037495344205E-2</v>
      </c>
      <c r="W1262">
        <v>3.7096129491942798E-2</v>
      </c>
      <c r="X1262">
        <v>7.9811334596958054E-3</v>
      </c>
      <c r="Y1262">
        <v>1.5514017944969528E-3</v>
      </c>
    </row>
    <row r="1263" spans="1:25" x14ac:dyDescent="0.25">
      <c r="A1263" s="1096"/>
      <c r="B1263" s="1455">
        <v>1013</v>
      </c>
      <c r="C1263" s="1100">
        <v>0.97335800560865016</v>
      </c>
      <c r="D1263" s="1100">
        <v>0.98301083108319576</v>
      </c>
      <c r="E1263" s="1100">
        <v>1.0045251652970706</v>
      </c>
      <c r="F1263" s="1100">
        <v>1.0194504056218943</v>
      </c>
      <c r="G1263" s="1100">
        <v>1.0028106013696225</v>
      </c>
      <c r="H1263" s="1100">
        <v>1.0018928492589607</v>
      </c>
      <c r="I1263" s="1100">
        <v>0.97794609868185611</v>
      </c>
      <c r="K1263">
        <v>1.3420627191886298</v>
      </c>
      <c r="L1263">
        <v>0</v>
      </c>
      <c r="M1263">
        <v>6.1707348046717754E-4</v>
      </c>
      <c r="N1263">
        <v>5.7523545177323852E-2</v>
      </c>
      <c r="O1263">
        <v>8.0303939329579022E-3</v>
      </c>
      <c r="P1263">
        <v>1.6592028780560854E-2</v>
      </c>
      <c r="Q1263">
        <v>4.6705739674322708E-4</v>
      </c>
      <c r="R1263">
        <v>6.1525604322227418E-4</v>
      </c>
      <c r="S1263">
        <v>6.1481002925400242E-2</v>
      </c>
      <c r="T1263">
        <v>1.0523219826410852</v>
      </c>
      <c r="U1263">
        <v>0</v>
      </c>
      <c r="V1263">
        <v>9.8538709729522278E-2</v>
      </c>
      <c r="W1263">
        <v>3.7687742055746015E-2</v>
      </c>
      <c r="X1263">
        <v>7.7475498559836133E-3</v>
      </c>
      <c r="Y1263">
        <v>1.6745241305508912E-3</v>
      </c>
    </row>
    <row r="1264" spans="1:25" x14ac:dyDescent="0.25">
      <c r="A1264" s="1096"/>
      <c r="B1264" s="1455">
        <v>1014</v>
      </c>
      <c r="C1264" s="1100">
        <v>0.97462127487842642</v>
      </c>
      <c r="D1264" s="1100">
        <v>0.96711412587669032</v>
      </c>
      <c r="E1264" s="1100">
        <v>1.0310055190653453</v>
      </c>
      <c r="F1264" s="1100">
        <v>0.99139088053846425</v>
      </c>
      <c r="G1264" s="1100">
        <v>1.0017008561758387</v>
      </c>
      <c r="H1264" s="1100">
        <v>1.0187798388531479</v>
      </c>
      <c r="I1264" s="1100">
        <v>1.024413612362324</v>
      </c>
      <c r="K1264">
        <v>1.3204989417151696</v>
      </c>
      <c r="L1264">
        <v>0</v>
      </c>
      <c r="M1264">
        <v>5.9695956966285995E-4</v>
      </c>
      <c r="N1264">
        <v>6.028017087446625E-2</v>
      </c>
      <c r="O1264">
        <v>8.0792357387555035E-3</v>
      </c>
      <c r="P1264">
        <v>1.6557757037906771E-2</v>
      </c>
      <c r="Q1264">
        <v>4.8244836448052824E-4</v>
      </c>
      <c r="R1264">
        <v>5.9523051630721322E-4</v>
      </c>
      <c r="S1264">
        <v>6.5461698373939337E-2</v>
      </c>
      <c r="T1264">
        <v>1.0225901425865966</v>
      </c>
      <c r="U1264">
        <v>0</v>
      </c>
      <c r="V1264">
        <v>9.8482066970995569E-2</v>
      </c>
      <c r="W1264">
        <v>3.8885589919092724E-2</v>
      </c>
      <c r="X1264">
        <v>8.0615396545896945E-3</v>
      </c>
      <c r="Y1264">
        <v>1.6200212477012685E-3</v>
      </c>
    </row>
    <row r="1265" spans="1:25" x14ac:dyDescent="0.25">
      <c r="A1265" s="1096"/>
      <c r="B1265" s="1455">
        <v>1015</v>
      </c>
      <c r="C1265" s="1100">
        <v>0.9709889730465544</v>
      </c>
      <c r="D1265" s="1100">
        <v>0.98406952995857289</v>
      </c>
      <c r="E1265" s="1100">
        <v>1.0125932988280995</v>
      </c>
      <c r="F1265" s="1100">
        <v>1.0195872114845683</v>
      </c>
      <c r="G1265" s="1100">
        <v>1.0285510064317085</v>
      </c>
      <c r="H1265" s="1100">
        <v>0.98030349903944058</v>
      </c>
      <c r="I1265" s="1100">
        <v>0.97663606537512337</v>
      </c>
      <c r="K1265">
        <v>1.341506438211171</v>
      </c>
      <c r="L1265">
        <v>0</v>
      </c>
      <c r="M1265">
        <v>5.9493513414734676E-4</v>
      </c>
      <c r="N1265">
        <v>5.6823718322712741E-2</v>
      </c>
      <c r="O1265">
        <v>8.0485768568361038E-3</v>
      </c>
      <c r="P1265">
        <v>1.669952892486358E-2</v>
      </c>
      <c r="Q1265">
        <v>4.7190868624614812E-4</v>
      </c>
      <c r="R1265">
        <v>5.9314431024350882E-4</v>
      </c>
      <c r="S1265">
        <v>6.0853434787334987E-2</v>
      </c>
      <c r="T1265">
        <v>1.0522204423277086</v>
      </c>
      <c r="U1265">
        <v>0</v>
      </c>
      <c r="V1265">
        <v>9.9855317531579224E-2</v>
      </c>
      <c r="W1265">
        <v>3.7052334761625484E-2</v>
      </c>
      <c r="X1265">
        <v>7.8686235536551217E-3</v>
      </c>
      <c r="Y1265">
        <v>1.6143432825135092E-3</v>
      </c>
    </row>
    <row r="1266" spans="1:25" x14ac:dyDescent="0.25">
      <c r="A1266" s="1096"/>
      <c r="B1266" s="1455">
        <v>1016</v>
      </c>
      <c r="C1266" s="1100">
        <v>1.0203130688787814</v>
      </c>
      <c r="D1266" s="1100">
        <v>1.009066568242595</v>
      </c>
      <c r="E1266" s="1100">
        <v>1.0317640617012878</v>
      </c>
      <c r="F1266" s="1100">
        <v>0.97372603747074649</v>
      </c>
      <c r="G1266" s="1100">
        <v>1.0387926109273584</v>
      </c>
      <c r="H1266" s="1100">
        <v>1.0249163279998164</v>
      </c>
      <c r="I1266" s="1100">
        <v>1.004385979127205</v>
      </c>
      <c r="K1266">
        <v>1.290981910894514</v>
      </c>
      <c r="L1266">
        <v>0</v>
      </c>
      <c r="M1266">
        <v>5.6310837627563618E-4</v>
      </c>
      <c r="N1266">
        <v>5.6993075007118803E-2</v>
      </c>
      <c r="O1266">
        <v>7.5876333902240639E-3</v>
      </c>
      <c r="P1266">
        <v>1.6246653420077552E-2</v>
      </c>
      <c r="Q1266">
        <v>4.5343219835308377E-4</v>
      </c>
      <c r="R1266">
        <v>5.6148713596346157E-4</v>
      </c>
      <c r="S1266">
        <v>6.0114139596226572E-2</v>
      </c>
      <c r="T1266">
        <v>1.004348086017959</v>
      </c>
      <c r="U1266">
        <v>0</v>
      </c>
      <c r="V1266">
        <v>9.9138383828858631E-2</v>
      </c>
      <c r="W1266">
        <v>3.674897986092461E-2</v>
      </c>
      <c r="X1266">
        <v>7.8249659251742338E-3</v>
      </c>
      <c r="Y1266">
        <v>1.5281828899079172E-3</v>
      </c>
    </row>
    <row r="1267" spans="1:25" x14ac:dyDescent="0.25">
      <c r="A1267" s="1096"/>
      <c r="B1267" s="1455">
        <v>1017</v>
      </c>
      <c r="C1267" s="1100">
        <v>1.0087951087543006</v>
      </c>
      <c r="D1267" s="1100">
        <v>1.0025417689751213</v>
      </c>
      <c r="E1267" s="1100">
        <v>1.0007741238412702</v>
      </c>
      <c r="F1267" s="1100">
        <v>0.97187921411375189</v>
      </c>
      <c r="G1267" s="1100">
        <v>0.98566033270284648</v>
      </c>
      <c r="H1267" s="1100">
        <v>1.0167881746794942</v>
      </c>
      <c r="I1267" s="1100">
        <v>0.99421739837369849</v>
      </c>
      <c r="K1267">
        <v>1.2854845986968728</v>
      </c>
      <c r="L1267">
        <v>0</v>
      </c>
      <c r="M1267">
        <v>6.0419706304830963E-4</v>
      </c>
      <c r="N1267">
        <v>5.5691048058480672E-2</v>
      </c>
      <c r="O1267">
        <v>7.6866531017229216E-3</v>
      </c>
      <c r="P1267">
        <v>1.583492955047501E-2</v>
      </c>
      <c r="Q1267">
        <v>4.4538500407284896E-4</v>
      </c>
      <c r="R1267">
        <v>6.0244361888190669E-4</v>
      </c>
      <c r="S1267">
        <v>6.0119376976646273E-2</v>
      </c>
      <c r="T1267">
        <v>1.0033251088198085</v>
      </c>
      <c r="U1267">
        <v>0</v>
      </c>
      <c r="V1267">
        <v>9.6810377488718111E-2</v>
      </c>
      <c r="W1267">
        <v>3.6568409009289392E-2</v>
      </c>
      <c r="X1267">
        <v>7.3654111967153719E-3</v>
      </c>
      <c r="Y1267">
        <v>1.6396529351109597E-3</v>
      </c>
    </row>
    <row r="1268" spans="1:25" x14ac:dyDescent="0.25">
      <c r="A1268" s="1096"/>
      <c r="B1268" s="1455">
        <v>1018</v>
      </c>
      <c r="C1268" s="1100">
        <v>1.0157742346624632</v>
      </c>
      <c r="D1268" s="1100">
        <v>0.98097408803670183</v>
      </c>
      <c r="E1268" s="1100">
        <v>1.0139733527739194</v>
      </c>
      <c r="F1268" s="1100">
        <v>1.012903918883775</v>
      </c>
      <c r="G1268" s="1100">
        <v>0.98956593286494821</v>
      </c>
      <c r="H1268" s="1100">
        <v>0.97452985595539587</v>
      </c>
      <c r="I1268" s="1100">
        <v>0.95989598418950595</v>
      </c>
      <c r="K1268">
        <v>1.3225830428785801</v>
      </c>
      <c r="L1268">
        <v>0</v>
      </c>
      <c r="M1268">
        <v>5.6444657430067182E-4</v>
      </c>
      <c r="N1268">
        <v>5.4135743378595932E-2</v>
      </c>
      <c r="O1268">
        <v>7.7037554131100068E-3</v>
      </c>
      <c r="P1268">
        <v>1.6527704933787191E-2</v>
      </c>
      <c r="Q1268">
        <v>4.5231335478049028E-4</v>
      </c>
      <c r="R1268">
        <v>5.6273745841378664E-4</v>
      </c>
      <c r="S1268">
        <v>5.7103730160933605E-2</v>
      </c>
      <c r="T1268">
        <v>1.0452821868435542</v>
      </c>
      <c r="U1268">
        <v>0</v>
      </c>
      <c r="V1268">
        <v>9.6845170627449781E-2</v>
      </c>
      <c r="W1268">
        <v>3.5270979913596741E-2</v>
      </c>
      <c r="X1268">
        <v>7.7315815132095378E-3</v>
      </c>
      <c r="Y1268">
        <v>1.531585855449017E-3</v>
      </c>
    </row>
    <row r="1269" spans="1:25" x14ac:dyDescent="0.25">
      <c r="A1269" s="1096"/>
      <c r="B1269" s="1455">
        <v>1019</v>
      </c>
      <c r="C1269" s="1100">
        <v>0.97691043221374951</v>
      </c>
      <c r="D1269" s="1100">
        <v>0.9910054838746194</v>
      </c>
      <c r="E1269" s="1100">
        <v>0.99304822082344202</v>
      </c>
      <c r="F1269" s="1100">
        <v>0.99322129423415606</v>
      </c>
      <c r="G1269" s="1100">
        <v>1.0115097144367964</v>
      </c>
      <c r="H1269" s="1100">
        <v>0.98562901057851227</v>
      </c>
      <c r="I1269" s="1100">
        <v>0.97968104309449178</v>
      </c>
      <c r="K1269">
        <v>1.3109001295688658</v>
      </c>
      <c r="L1269">
        <v>0</v>
      </c>
      <c r="M1269">
        <v>6.1741474639101079E-4</v>
      </c>
      <c r="N1269">
        <v>5.5590986447155835E-2</v>
      </c>
      <c r="O1269">
        <v>7.9724168308757566E-3</v>
      </c>
      <c r="P1269">
        <v>1.6079834201067063E-2</v>
      </c>
      <c r="Q1269">
        <v>4.5836329634512004E-4</v>
      </c>
      <c r="R1269">
        <v>6.1556629796167726E-4</v>
      </c>
      <c r="S1269">
        <v>6.0588888646048833E-2</v>
      </c>
      <c r="T1269">
        <v>1.0255868383647722</v>
      </c>
      <c r="U1269">
        <v>0</v>
      </c>
      <c r="V1269">
        <v>9.8854013359977136E-2</v>
      </c>
      <c r="W1269">
        <v>3.667111764728051E-2</v>
      </c>
      <c r="X1269">
        <v>7.4241506820956552E-3</v>
      </c>
      <c r="Y1269">
        <v>1.6753685416760985E-3</v>
      </c>
    </row>
    <row r="1270" spans="1:25" x14ac:dyDescent="0.25">
      <c r="A1270" s="1096"/>
      <c r="B1270" s="1455">
        <v>1020</v>
      </c>
      <c r="C1270" s="1100">
        <v>1.0055095310191997</v>
      </c>
      <c r="D1270" s="1100">
        <v>1.0131263124167307</v>
      </c>
      <c r="E1270" s="1100">
        <v>0.9941301230189844</v>
      </c>
      <c r="F1270" s="1100">
        <v>1.0060639055020477</v>
      </c>
      <c r="G1270" s="1100">
        <v>0.98037751287659414</v>
      </c>
      <c r="H1270" s="1100">
        <v>1.0369453746899202</v>
      </c>
      <c r="I1270" s="1100">
        <v>0.99863237851907349</v>
      </c>
      <c r="K1270">
        <v>1.3233491670410038</v>
      </c>
      <c r="L1270">
        <v>0</v>
      </c>
      <c r="M1270">
        <v>6.241360547268916E-4</v>
      </c>
      <c r="N1270">
        <v>5.6388613594283335E-2</v>
      </c>
      <c r="O1270">
        <v>7.6778281275313425E-3</v>
      </c>
      <c r="P1270">
        <v>1.6245769479298466E-2</v>
      </c>
      <c r="Q1270">
        <v>4.4190834266649416E-4</v>
      </c>
      <c r="R1270">
        <v>6.2235995555835115E-4</v>
      </c>
      <c r="S1270">
        <v>6.0845835568349015E-2</v>
      </c>
      <c r="T1270">
        <v>1.0388153382732837</v>
      </c>
      <c r="U1270">
        <v>0</v>
      </c>
      <c r="V1270">
        <v>9.6627734732850745E-2</v>
      </c>
      <c r="W1270">
        <v>3.7173247505019616E-2</v>
      </c>
      <c r="X1270">
        <v>7.4408088787642004E-3</v>
      </c>
      <c r="Y1270">
        <v>1.6938586381256206E-3</v>
      </c>
    </row>
    <row r="1271" spans="1:25" x14ac:dyDescent="0.25">
      <c r="A1271" s="1096"/>
      <c r="B1271" s="1455">
        <v>1021</v>
      </c>
      <c r="C1271" s="1100">
        <v>0.9832934378636935</v>
      </c>
      <c r="D1271" s="1100">
        <v>0.96096069742095569</v>
      </c>
      <c r="E1271" s="1100">
        <v>0.99254972463465729</v>
      </c>
      <c r="F1271" s="1100">
        <v>1.0342802042310588</v>
      </c>
      <c r="G1271" s="1100">
        <v>1.0090265644254783</v>
      </c>
      <c r="H1271" s="1100">
        <v>0.99059685430806399</v>
      </c>
      <c r="I1271" s="1100">
        <v>0.99799400349959888</v>
      </c>
      <c r="K1271">
        <v>1.3567838717964158</v>
      </c>
      <c r="L1271">
        <v>0</v>
      </c>
      <c r="M1271">
        <v>6.2478244021959986E-4</v>
      </c>
      <c r="N1271">
        <v>5.6170503405457935E-2</v>
      </c>
      <c r="O1271">
        <v>8.0186809905486225E-3</v>
      </c>
      <c r="P1271">
        <v>1.6671132356514042E-2</v>
      </c>
      <c r="Q1271">
        <v>4.6079131780245162E-4</v>
      </c>
      <c r="R1271">
        <v>6.2292131459431525E-4</v>
      </c>
      <c r="S1271">
        <v>6.2500936606797328E-2</v>
      </c>
      <c r="T1271">
        <v>1.0679991691614357</v>
      </c>
      <c r="U1271">
        <v>0</v>
      </c>
      <c r="V1271">
        <v>9.8568671420329781E-2</v>
      </c>
      <c r="W1271">
        <v>3.7064443884350991E-2</v>
      </c>
      <c r="X1271">
        <v>7.6360173064335991E-3</v>
      </c>
      <c r="Y1271">
        <v>1.6953864723695583E-3</v>
      </c>
    </row>
    <row r="1272" spans="1:25" x14ac:dyDescent="0.25">
      <c r="A1272" s="1096"/>
      <c r="B1272" s="1455">
        <v>1022</v>
      </c>
      <c r="C1272" s="1100">
        <v>0.99837312668139377</v>
      </c>
      <c r="D1272" s="1100">
        <v>0.98029736029393855</v>
      </c>
      <c r="E1272" s="1100">
        <v>1.0000377701182168</v>
      </c>
      <c r="F1272" s="1100">
        <v>0.99391371603568701</v>
      </c>
      <c r="G1272" s="1100">
        <v>0.98248009014518145</v>
      </c>
      <c r="H1272" s="1100">
        <v>0.99301114191771966</v>
      </c>
      <c r="I1272" s="1100">
        <v>0.99024983080867224</v>
      </c>
      <c r="K1272">
        <v>1.3088836270216</v>
      </c>
      <c r="L1272">
        <v>0</v>
      </c>
      <c r="M1272">
        <v>6.0252293120088883E-4</v>
      </c>
      <c r="N1272">
        <v>5.5409464744894006E-2</v>
      </c>
      <c r="O1272">
        <v>7.83673407385071E-3</v>
      </c>
      <c r="P1272">
        <v>1.6143501625216231E-2</v>
      </c>
      <c r="Q1272">
        <v>4.5374519615955082E-4</v>
      </c>
      <c r="R1272">
        <v>6.0073247674971824E-4</v>
      </c>
      <c r="S1272">
        <v>6.0509236370894851E-2</v>
      </c>
      <c r="T1272">
        <v>1.0260943292758424</v>
      </c>
      <c r="U1272">
        <v>0</v>
      </c>
      <c r="V1272">
        <v>9.6912163754730954E-2</v>
      </c>
      <c r="W1272">
        <v>3.6399434541758063E-2</v>
      </c>
      <c r="X1272">
        <v>7.4918121223973609E-3</v>
      </c>
      <c r="Y1272">
        <v>1.6349957703049945E-3</v>
      </c>
    </row>
    <row r="1273" spans="1:25" x14ac:dyDescent="0.25">
      <c r="A1273" s="1096"/>
      <c r="B1273" s="1455">
        <v>1023</v>
      </c>
      <c r="C1273" s="1100">
        <v>1.0023248859571168</v>
      </c>
      <c r="D1273" s="1100">
        <v>1.0152300530913729</v>
      </c>
      <c r="E1273" s="1100">
        <v>1.0176086226997325</v>
      </c>
      <c r="F1273" s="1100">
        <v>0.98010117435295518</v>
      </c>
      <c r="G1273" s="1100">
        <v>1.0109505990040706</v>
      </c>
      <c r="H1273" s="1100">
        <v>0.96979226661099549</v>
      </c>
      <c r="I1273" s="1100">
        <v>1.0293676809740122</v>
      </c>
      <c r="K1273">
        <v>1.2929618654365465</v>
      </c>
      <c r="L1273">
        <v>0</v>
      </c>
      <c r="M1273">
        <v>5.5724926418612806E-4</v>
      </c>
      <c r="N1273">
        <v>5.4034187422035779E-2</v>
      </c>
      <c r="O1273">
        <v>7.7015549621924952E-3</v>
      </c>
      <c r="P1273">
        <v>1.6172457280356486E-2</v>
      </c>
      <c r="Q1273">
        <v>4.5382510750831577E-4</v>
      </c>
      <c r="R1273">
        <v>5.5555369855290375E-4</v>
      </c>
      <c r="S1273">
        <v>6.0778263787909584E-2</v>
      </c>
      <c r="T1273">
        <v>1.0113264983250316</v>
      </c>
      <c r="U1273">
        <v>0</v>
      </c>
      <c r="V1273">
        <v>9.8211332372798901E-2</v>
      </c>
      <c r="W1273">
        <v>3.5129770557077902E-2</v>
      </c>
      <c r="X1273">
        <v>7.6436371580341344E-3</v>
      </c>
      <c r="Y1273">
        <v>1.5120340292334952E-3</v>
      </c>
    </row>
    <row r="1274" spans="1:25" x14ac:dyDescent="0.25">
      <c r="A1274" s="1096"/>
      <c r="B1274" s="1455">
        <v>1024</v>
      </c>
      <c r="C1274" s="1100">
        <v>1.0325573921379372</v>
      </c>
      <c r="D1274" s="1100">
        <v>1.0039816162595463</v>
      </c>
      <c r="E1274" s="1100">
        <v>0.99914540095675697</v>
      </c>
      <c r="F1274" s="1100">
        <v>0.99764247480844637</v>
      </c>
      <c r="G1274" s="1100">
        <v>0.97065603108887732</v>
      </c>
      <c r="H1274" s="1100">
        <v>0.98869404986485632</v>
      </c>
      <c r="I1274" s="1100">
        <v>1.0145739846272803</v>
      </c>
      <c r="K1274">
        <v>1.3050718294405683</v>
      </c>
      <c r="L1274">
        <v>0</v>
      </c>
      <c r="M1274">
        <v>5.7559463755186906E-4</v>
      </c>
      <c r="N1274">
        <v>5.2789865049673215E-2</v>
      </c>
      <c r="O1274">
        <v>7.5050634029880962E-3</v>
      </c>
      <c r="P1274">
        <v>1.6146651631677583E-2</v>
      </c>
      <c r="Q1274">
        <v>4.3415184344863193E-4</v>
      </c>
      <c r="R1274">
        <v>5.7387673455587844E-4</v>
      </c>
      <c r="S1274">
        <v>5.9049309111138058E-2</v>
      </c>
      <c r="T1274">
        <v>1.0299703262445754</v>
      </c>
      <c r="U1274">
        <v>0</v>
      </c>
      <c r="V1274">
        <v>9.5517366629983877E-2</v>
      </c>
      <c r="W1274">
        <v>3.4696977725326698E-2</v>
      </c>
      <c r="X1274">
        <v>7.4019324117046903E-3</v>
      </c>
      <c r="Y1274">
        <v>1.5619032930463978E-3</v>
      </c>
    </row>
    <row r="1275" spans="1:25" x14ac:dyDescent="0.25">
      <c r="A1275" s="1096"/>
      <c r="B1275" s="1455">
        <v>1025</v>
      </c>
      <c r="C1275" s="1100">
        <v>0.95916511370331703</v>
      </c>
      <c r="D1275" s="1100">
        <v>1.0191134615548283</v>
      </c>
      <c r="E1275" s="1100">
        <v>0.97292464353404895</v>
      </c>
      <c r="F1275" s="1100">
        <v>1.0341684586002826</v>
      </c>
      <c r="G1275" s="1100">
        <v>1.0215326014793553</v>
      </c>
      <c r="H1275" s="1100">
        <v>0.98889444185181141</v>
      </c>
      <c r="I1275" s="1100">
        <v>0.98536961243406374</v>
      </c>
      <c r="K1275">
        <v>1.355420220004274</v>
      </c>
      <c r="L1275">
        <v>0</v>
      </c>
      <c r="M1275">
        <v>6.5042362688979964E-4</v>
      </c>
      <c r="N1275">
        <v>5.5104982250815199E-2</v>
      </c>
      <c r="O1275">
        <v>8.0244817202421003E-3</v>
      </c>
      <c r="P1275">
        <v>1.6430904015267589E-2</v>
      </c>
      <c r="Q1275">
        <v>4.5203143187592715E-4</v>
      </c>
      <c r="R1275">
        <v>6.4848278484767256E-4</v>
      </c>
      <c r="S1275">
        <v>6.1224418581725483E-2</v>
      </c>
      <c r="T1275">
        <v>1.0684983506460415</v>
      </c>
      <c r="U1275">
        <v>0</v>
      </c>
      <c r="V1275">
        <v>9.9785377485574658E-2</v>
      </c>
      <c r="W1275">
        <v>3.6793862289564418E-2</v>
      </c>
      <c r="X1275">
        <v>7.3427960571462846E-3</v>
      </c>
      <c r="Y1275">
        <v>1.7649563680627925E-3</v>
      </c>
    </row>
    <row r="1276" spans="1:25" x14ac:dyDescent="0.25">
      <c r="A1276" s="1096"/>
      <c r="B1276" s="1455">
        <v>1026</v>
      </c>
      <c r="C1276" s="1100">
        <v>0.97949492612684286</v>
      </c>
      <c r="D1276" s="1100">
        <v>0.99000311676277941</v>
      </c>
      <c r="E1276" s="1100">
        <v>1.0098454298475432</v>
      </c>
      <c r="F1276" s="1100">
        <v>1.0144407475465862</v>
      </c>
      <c r="G1276" s="1100">
        <v>1.0166359131492824</v>
      </c>
      <c r="H1276" s="1100">
        <v>1.0137744520628813</v>
      </c>
      <c r="I1276" s="1100">
        <v>1.0248602143255674</v>
      </c>
      <c r="K1276">
        <v>1.3405642736696728</v>
      </c>
      <c r="L1276">
        <v>0</v>
      </c>
      <c r="M1276">
        <v>6.1192462065903699E-4</v>
      </c>
      <c r="N1276">
        <v>5.7969392080274698E-2</v>
      </c>
      <c r="O1276">
        <v>7.9588276243383379E-3</v>
      </c>
      <c r="P1276">
        <v>1.662840862406386E-2</v>
      </c>
      <c r="Q1276">
        <v>4.6536725723370044E-4</v>
      </c>
      <c r="R1276">
        <v>6.1014347103646586E-4</v>
      </c>
      <c r="S1276">
        <v>6.417031136558754E-2</v>
      </c>
      <c r="T1276">
        <v>1.0469913003880913</v>
      </c>
      <c r="U1276">
        <v>0</v>
      </c>
      <c r="V1276">
        <v>9.9054045959838743E-2</v>
      </c>
      <c r="W1276">
        <v>3.7860619077982535E-2</v>
      </c>
      <c r="X1276">
        <v>7.8071730474636196E-3</v>
      </c>
      <c r="Y1276">
        <v>1.6606093944200892E-3</v>
      </c>
    </row>
    <row r="1277" spans="1:25" x14ac:dyDescent="0.25">
      <c r="A1277" s="1096"/>
      <c r="B1277" s="1455">
        <v>1027</v>
      </c>
      <c r="C1277" s="1100">
        <v>1.0116103837055681</v>
      </c>
      <c r="D1277" s="1100">
        <v>1.0172111641217789</v>
      </c>
      <c r="E1277" s="1100">
        <v>1.0100507513150712</v>
      </c>
      <c r="F1277" s="1100">
        <v>0.99228893925272232</v>
      </c>
      <c r="G1277" s="1100">
        <v>1.0156096682462989</v>
      </c>
      <c r="H1277" s="1100">
        <v>1.0407624708317271</v>
      </c>
      <c r="I1277" s="1100">
        <v>0.99911348238433062</v>
      </c>
      <c r="K1277">
        <v>1.310643789186646</v>
      </c>
      <c r="L1277">
        <v>0</v>
      </c>
      <c r="M1277">
        <v>6.0145348875317276E-4</v>
      </c>
      <c r="N1277">
        <v>5.7017076609354504E-2</v>
      </c>
      <c r="O1277">
        <v>7.6230893794684311E-3</v>
      </c>
      <c r="P1277">
        <v>1.6254617349483309E-2</v>
      </c>
      <c r="Q1277">
        <v>4.4582752403685215E-4</v>
      </c>
      <c r="R1277">
        <v>5.9974821446754842E-4</v>
      </c>
      <c r="S1277">
        <v>6.050814728273448E-2</v>
      </c>
      <c r="T1277">
        <v>1.0241226988341467</v>
      </c>
      <c r="U1277">
        <v>0</v>
      </c>
      <c r="V1277">
        <v>9.8201248894487725E-2</v>
      </c>
      <c r="W1277">
        <v>3.7234140039432359E-2</v>
      </c>
      <c r="X1277">
        <v>7.6063316149530607E-3</v>
      </c>
      <c r="Y1277">
        <v>1.6323169328349022E-3</v>
      </c>
    </row>
    <row r="1278" spans="1:25" x14ac:dyDescent="0.25">
      <c r="A1278" s="1096"/>
      <c r="B1278" s="1455">
        <v>1028</v>
      </c>
      <c r="C1278" s="1100">
        <v>1.0079534012412668</v>
      </c>
      <c r="D1278" s="1100">
        <v>1.0103003098571519</v>
      </c>
      <c r="E1278" s="1100">
        <v>1.0047849621188267</v>
      </c>
      <c r="F1278" s="1100">
        <v>0.99110173895066267</v>
      </c>
      <c r="G1278" s="1100">
        <v>1.014141217566833</v>
      </c>
      <c r="H1278" s="1100">
        <v>0.99264403475704055</v>
      </c>
      <c r="I1278" s="1100">
        <v>0.96661546465733172</v>
      </c>
      <c r="K1278">
        <v>1.3022732219192201</v>
      </c>
      <c r="L1278">
        <v>0</v>
      </c>
      <c r="M1278">
        <v>5.8364693702852417E-4</v>
      </c>
      <c r="N1278">
        <v>5.4448733323072041E-2</v>
      </c>
      <c r="O1278">
        <v>7.6703591207103235E-3</v>
      </c>
      <c r="P1278">
        <v>1.6136404031001538E-2</v>
      </c>
      <c r="Q1278">
        <v>4.4623355351152083E-4</v>
      </c>
      <c r="R1278">
        <v>5.8191193298215687E-4</v>
      </c>
      <c r="S1278">
        <v>5.7557942182039135E-2</v>
      </c>
      <c r="T1278">
        <v>1.0230516015588942</v>
      </c>
      <c r="U1278">
        <v>0</v>
      </c>
      <c r="V1278">
        <v>9.8213202092690091E-2</v>
      </c>
      <c r="W1278">
        <v>3.5667727737141268E-2</v>
      </c>
      <c r="X1278">
        <v>7.498980869844336E-3</v>
      </c>
      <c r="Y1278">
        <v>1.5837724543602784E-3</v>
      </c>
    </row>
    <row r="1279" spans="1:25" x14ac:dyDescent="0.25">
      <c r="A1279" s="1096"/>
      <c r="B1279" s="1455">
        <v>1029</v>
      </c>
      <c r="C1279" s="1100">
        <v>1.0089855013893643</v>
      </c>
      <c r="D1279" s="1100">
        <v>0.98913258563322282</v>
      </c>
      <c r="E1279" s="1100">
        <v>1.0298259221663431</v>
      </c>
      <c r="F1279" s="1100">
        <v>1.0311715461758251</v>
      </c>
      <c r="G1279" s="1100">
        <v>1.0106598821593009</v>
      </c>
      <c r="H1279" s="1100">
        <v>0.97752003831658141</v>
      </c>
      <c r="I1279" s="1100">
        <v>0.99212439275646436</v>
      </c>
      <c r="K1279">
        <v>1.346754020863745</v>
      </c>
      <c r="L1279">
        <v>0</v>
      </c>
      <c r="M1279">
        <v>5.4966497553939075E-4</v>
      </c>
      <c r="N1279">
        <v>5.5300629257232004E-2</v>
      </c>
      <c r="O1279">
        <v>7.7338237203102549E-3</v>
      </c>
      <c r="P1279">
        <v>1.7023552503040624E-2</v>
      </c>
      <c r="Q1279">
        <v>4.6128405394342439E-4</v>
      </c>
      <c r="R1279">
        <v>5.4800570877477689E-4</v>
      </c>
      <c r="S1279">
        <v>5.9259032752538389E-2</v>
      </c>
      <c r="T1279">
        <v>1.063657821474906</v>
      </c>
      <c r="U1279">
        <v>0</v>
      </c>
      <c r="V1279">
        <v>9.8047761285463109E-2</v>
      </c>
      <c r="W1279">
        <v>3.5697809412149131E-2</v>
      </c>
      <c r="X1279">
        <v>8.0824747816754215E-3</v>
      </c>
      <c r="Y1279">
        <v>1.4914908892515958E-3</v>
      </c>
    </row>
    <row r="1280" spans="1:25" x14ac:dyDescent="0.25">
      <c r="A1280" s="1096"/>
      <c r="B1280" s="1455">
        <v>1030</v>
      </c>
      <c r="C1280" s="1100">
        <v>0.98805071542992551</v>
      </c>
      <c r="D1280" s="1100">
        <v>1.0242662842959691</v>
      </c>
      <c r="E1280" s="1100">
        <v>0.96986679174967028</v>
      </c>
      <c r="F1280" s="1100">
        <v>1.0311385377760356</v>
      </c>
      <c r="G1280" s="1100">
        <v>0.99439980563236963</v>
      </c>
      <c r="H1280" s="1100">
        <v>1.027199058234378</v>
      </c>
      <c r="I1280" s="1100">
        <v>1.0077420311115368</v>
      </c>
      <c r="K1280">
        <v>1.3508215383208124</v>
      </c>
      <c r="L1280">
        <v>0</v>
      </c>
      <c r="M1280">
        <v>6.586902414010532E-4</v>
      </c>
      <c r="N1280">
        <v>5.5297259517520868E-2</v>
      </c>
      <c r="O1280">
        <v>7.773438240130613E-3</v>
      </c>
      <c r="P1280">
        <v>1.6332057625339329E-2</v>
      </c>
      <c r="Q1280">
        <v>4.3652440057833497E-4</v>
      </c>
      <c r="R1280">
        <v>6.5679802660041913E-4</v>
      </c>
      <c r="S1280">
        <v>6.1797734352553958E-2</v>
      </c>
      <c r="T1280">
        <v>1.0654643994230113</v>
      </c>
      <c r="U1280">
        <v>0</v>
      </c>
      <c r="V1280">
        <v>9.7714585407002508E-2</v>
      </c>
      <c r="W1280">
        <v>3.699095086583621E-2</v>
      </c>
      <c r="X1280">
        <v>7.2288929886458447E-3</v>
      </c>
      <c r="Y1280">
        <v>1.7875877149950608E-3</v>
      </c>
    </row>
    <row r="1281" spans="1:25" x14ac:dyDescent="0.25">
      <c r="A1281" s="1096"/>
      <c r="B1281" s="1455">
        <v>1031</v>
      </c>
      <c r="C1281" s="1100">
        <v>1.0111279070630008</v>
      </c>
      <c r="D1281" s="1100">
        <v>1.002791417915321</v>
      </c>
      <c r="E1281" s="1100">
        <v>1.0129333648090562</v>
      </c>
      <c r="F1281" s="1100">
        <v>0.99830779103369816</v>
      </c>
      <c r="G1281" s="1100">
        <v>1.0365925689712285</v>
      </c>
      <c r="H1281" s="1100">
        <v>0.98044368733690035</v>
      </c>
      <c r="I1281" s="1100">
        <v>1.0095570971670251</v>
      </c>
      <c r="K1281">
        <v>1.3124894747129674</v>
      </c>
      <c r="L1281">
        <v>0</v>
      </c>
      <c r="M1281">
        <v>5.6670759967780726E-4</v>
      </c>
      <c r="N1281">
        <v>5.4183248305610818E-2</v>
      </c>
      <c r="O1281">
        <v>7.6711070780775704E-3</v>
      </c>
      <c r="P1281">
        <v>1.6378103828297581E-2</v>
      </c>
      <c r="Q1281">
        <v>4.499293572854476E-4</v>
      </c>
      <c r="R1281">
        <v>5.6500198784465664E-4</v>
      </c>
      <c r="S1281">
        <v>5.9802891978785244E-2</v>
      </c>
      <c r="T1281">
        <v>1.0302499699146057</v>
      </c>
      <c r="U1281">
        <v>0</v>
      </c>
      <c r="V1281">
        <v>9.923134860305062E-2</v>
      </c>
      <c r="W1281">
        <v>3.5323527651210274E-2</v>
      </c>
      <c r="X1281">
        <v>7.6633044498192939E-3</v>
      </c>
      <c r="Y1281">
        <v>1.5377491580579193E-3</v>
      </c>
    </row>
    <row r="1282" spans="1:25" x14ac:dyDescent="0.25">
      <c r="A1282" s="1096"/>
      <c r="B1282" s="1455">
        <v>1032</v>
      </c>
      <c r="C1282" s="1100">
        <v>1.0194095510027741</v>
      </c>
      <c r="D1282" s="1100">
        <v>0.98927646624789289</v>
      </c>
      <c r="E1282" s="1100">
        <v>1.0124486278504587</v>
      </c>
      <c r="F1282" s="1100">
        <v>1.0368978617852453</v>
      </c>
      <c r="G1282" s="1100">
        <v>0.96813103704210157</v>
      </c>
      <c r="H1282" s="1100">
        <v>1.0245485659400146</v>
      </c>
      <c r="I1282" s="1100">
        <v>1.0256849414597353</v>
      </c>
      <c r="K1282">
        <v>1.3555955421147363</v>
      </c>
      <c r="L1282">
        <v>0</v>
      </c>
      <c r="M1282">
        <v>5.9118177357888604E-4</v>
      </c>
      <c r="N1282">
        <v>5.6447932692340601E-2</v>
      </c>
      <c r="O1282">
        <v>7.6500794919997462E-3</v>
      </c>
      <c r="P1282">
        <v>1.6903473080798991E-2</v>
      </c>
      <c r="Q1282">
        <v>4.484789915836535E-4</v>
      </c>
      <c r="R1282">
        <v>5.8947909644126292E-4</v>
      </c>
      <c r="S1282">
        <v>6.206674723453795E-2</v>
      </c>
      <c r="T1282">
        <v>1.0700895519480527</v>
      </c>
      <c r="U1282">
        <v>0</v>
      </c>
      <c r="V1282">
        <v>9.5719412318830341E-2</v>
      </c>
      <c r="W1282">
        <v>3.6810434801932281E-2</v>
      </c>
      <c r="X1282">
        <v>7.8567664530150016E-3</v>
      </c>
      <c r="Y1282">
        <v>1.6043677787812005E-3</v>
      </c>
    </row>
    <row r="1283" spans="1:25" x14ac:dyDescent="0.25">
      <c r="A1283" s="1096"/>
      <c r="B1283" s="1455">
        <v>1033</v>
      </c>
      <c r="C1283" s="1100">
        <v>0.97283240868526821</v>
      </c>
      <c r="D1283" s="1100">
        <v>1.0348820626659732</v>
      </c>
      <c r="E1283" s="1100">
        <v>1.0100706290868908</v>
      </c>
      <c r="F1283" s="1100">
        <v>0.96921949856877398</v>
      </c>
      <c r="G1283" s="1100">
        <v>0.99110018159642288</v>
      </c>
      <c r="H1283" s="1100">
        <v>0.96451651173240238</v>
      </c>
      <c r="I1283" s="1100">
        <v>1.0090191940394559</v>
      </c>
      <c r="K1283">
        <v>1.2824102787433358</v>
      </c>
      <c r="L1283">
        <v>0</v>
      </c>
      <c r="M1283">
        <v>5.7560626021366311E-4</v>
      </c>
      <c r="N1283">
        <v>5.4557799174953903E-2</v>
      </c>
      <c r="O1283">
        <v>7.8725356680832623E-3</v>
      </c>
      <c r="P1283">
        <v>1.5925804667249615E-2</v>
      </c>
      <c r="Q1283">
        <v>4.604252488850606E-4</v>
      </c>
      <c r="R1283">
        <v>5.7384525898020579E-4</v>
      </c>
      <c r="S1283">
        <v>6.0581128684304847E-2</v>
      </c>
      <c r="T1283">
        <v>1.0003125965274628</v>
      </c>
      <c r="U1283">
        <v>0</v>
      </c>
      <c r="V1283">
        <v>9.7992188555016402E-2</v>
      </c>
      <c r="W1283">
        <v>3.562772849302949E-2</v>
      </c>
      <c r="X1283">
        <v>7.5200150986782848E-3</v>
      </c>
      <c r="Y1283">
        <v>1.5618176269053374E-3</v>
      </c>
    </row>
    <row r="1284" spans="1:25" x14ac:dyDescent="0.25">
      <c r="A1284" s="1096"/>
      <c r="B1284" s="1455">
        <v>1034</v>
      </c>
      <c r="C1284" s="1100">
        <v>1.0021372675974298</v>
      </c>
      <c r="D1284" s="1100">
        <v>1.0023422691703185</v>
      </c>
      <c r="E1284" s="1100">
        <v>0.96481250117741801</v>
      </c>
      <c r="F1284" s="1100">
        <v>0.98872996066032892</v>
      </c>
      <c r="G1284" s="1100">
        <v>1.0101018018086747</v>
      </c>
      <c r="H1284" s="1100">
        <v>0.98077974748182528</v>
      </c>
      <c r="I1284" s="1100">
        <v>1.0357643228422424</v>
      </c>
      <c r="K1284">
        <v>1.3016152487140347</v>
      </c>
      <c r="L1284">
        <v>0</v>
      </c>
      <c r="M1284">
        <v>6.3203118261622457E-4</v>
      </c>
      <c r="N1284">
        <v>5.2246114241199473E-2</v>
      </c>
      <c r="O1284">
        <v>7.7295602868777992E-3</v>
      </c>
      <c r="P1284">
        <v>1.5695325556374425E-2</v>
      </c>
      <c r="Q1284">
        <v>4.3182056031500362E-4</v>
      </c>
      <c r="R1284">
        <v>6.301296191073086E-4</v>
      </c>
      <c r="S1284">
        <v>6.1883319708840409E-2</v>
      </c>
      <c r="T1284">
        <v>1.0217977029930267</v>
      </c>
      <c r="U1284">
        <v>0</v>
      </c>
      <c r="V1284">
        <v>9.811607113017258E-2</v>
      </c>
      <c r="W1284">
        <v>3.5057802535758922E-2</v>
      </c>
      <c r="X1284">
        <v>6.9444281639394114E-3</v>
      </c>
      <c r="Y1284">
        <v>1.7150051010369823E-3</v>
      </c>
    </row>
    <row r="1285" spans="1:25" x14ac:dyDescent="0.25">
      <c r="A1285" s="1096"/>
      <c r="B1285" s="1455">
        <v>1035</v>
      </c>
      <c r="C1285" s="1100">
        <v>1.015290851811405</v>
      </c>
      <c r="D1285" s="1100">
        <v>0.96912338427730527</v>
      </c>
      <c r="E1285" s="1100">
        <v>1.0234063728206768</v>
      </c>
      <c r="F1285" s="1100">
        <v>0.9885333911683658</v>
      </c>
      <c r="G1285" s="1100">
        <v>0.99789406606247255</v>
      </c>
      <c r="H1285" s="1100">
        <v>1.0005046212344935</v>
      </c>
      <c r="I1285" s="1100">
        <v>0.97689761757853466</v>
      </c>
      <c r="K1285">
        <v>1.3032131764515864</v>
      </c>
      <c r="L1285">
        <v>0</v>
      </c>
      <c r="M1285">
        <v>5.7127171076661151E-4</v>
      </c>
      <c r="N1285">
        <v>5.6376524138323079E-2</v>
      </c>
      <c r="O1285">
        <v>7.7473012635279918E-3</v>
      </c>
      <c r="P1285">
        <v>1.6326215944119066E-2</v>
      </c>
      <c r="Q1285">
        <v>4.5915892748884894E-4</v>
      </c>
      <c r="R1285">
        <v>5.695868367305726E-4</v>
      </c>
      <c r="S1285">
        <v>5.9306866195277579E-2</v>
      </c>
      <c r="T1285">
        <v>1.0198602590147243</v>
      </c>
      <c r="U1285">
        <v>0</v>
      </c>
      <c r="V1285">
        <v>9.7270257033998705E-2</v>
      </c>
      <c r="W1285">
        <v>3.6528551202072934E-2</v>
      </c>
      <c r="X1285">
        <v>7.7895000007579176E-3</v>
      </c>
      <c r="Y1285">
        <v>1.5502276053303533E-3</v>
      </c>
    </row>
    <row r="1286" spans="1:25" x14ac:dyDescent="0.25">
      <c r="A1286" s="1096"/>
      <c r="B1286" s="1455">
        <v>1036</v>
      </c>
      <c r="C1286" s="1100">
        <v>1.0131801075108677</v>
      </c>
      <c r="D1286" s="1100">
        <v>1.0104940980137316</v>
      </c>
      <c r="E1286" s="1100">
        <v>1.0162137889198437</v>
      </c>
      <c r="F1286" s="1100">
        <v>1.0153062678596219</v>
      </c>
      <c r="G1286" s="1100">
        <v>0.99215076624434462</v>
      </c>
      <c r="H1286" s="1100">
        <v>0.96891817167026539</v>
      </c>
      <c r="I1286" s="1100">
        <v>1.0009080812225484</v>
      </c>
      <c r="K1286">
        <v>1.3254772004013156</v>
      </c>
      <c r="L1286">
        <v>0</v>
      </c>
      <c r="M1286">
        <v>5.5341615499024768E-4</v>
      </c>
      <c r="N1286">
        <v>5.3436975704010979E-2</v>
      </c>
      <c r="O1286">
        <v>7.6329664679764542E-3</v>
      </c>
      <c r="P1286">
        <v>1.661135989101754E-2</v>
      </c>
      <c r="Q1286">
        <v>4.491591054064946E-4</v>
      </c>
      <c r="R1286">
        <v>5.5173073341136338E-4</v>
      </c>
      <c r="S1286">
        <v>5.8584405567989516E-2</v>
      </c>
      <c r="T1286">
        <v>1.047694642009303</v>
      </c>
      <c r="U1286">
        <v>0</v>
      </c>
      <c r="V1286">
        <v>9.7035208549386381E-2</v>
      </c>
      <c r="W1286">
        <v>3.4769930960014135E-2</v>
      </c>
      <c r="X1286">
        <v>7.7626083894295518E-3</v>
      </c>
      <c r="Y1286">
        <v>1.5016291783583426E-3</v>
      </c>
    </row>
    <row r="1287" spans="1:25" x14ac:dyDescent="0.25">
      <c r="A1287" s="1096"/>
      <c r="B1287" s="1455">
        <v>1037</v>
      </c>
      <c r="C1287" s="1100">
        <v>1.0341595384433555</v>
      </c>
      <c r="D1287" s="1100">
        <v>1.0053477894346299</v>
      </c>
      <c r="E1287" s="1100">
        <v>0.99292112128344523</v>
      </c>
      <c r="F1287" s="1100">
        <v>0.96324052717986108</v>
      </c>
      <c r="G1287" s="1100">
        <v>0.99502929852180044</v>
      </c>
      <c r="H1287" s="1100">
        <v>1.0065452920633995</v>
      </c>
      <c r="I1287" s="1100">
        <v>1.0245224666474539</v>
      </c>
      <c r="K1287">
        <v>1.2721045438064158</v>
      </c>
      <c r="L1287">
        <v>0</v>
      </c>
      <c r="M1287">
        <v>5.9235534721771641E-4</v>
      </c>
      <c r="N1287">
        <v>5.3317520168576257E-2</v>
      </c>
      <c r="O1287">
        <v>7.4878881883686304E-3</v>
      </c>
      <c r="P1287">
        <v>1.5620816298572896E-2</v>
      </c>
      <c r="Q1287">
        <v>4.3045076785550403E-4</v>
      </c>
      <c r="R1287">
        <v>5.9061877515610196E-4</v>
      </c>
      <c r="S1287">
        <v>6.0025317372450558E-2</v>
      </c>
      <c r="T1287">
        <v>0.99463277458564281</v>
      </c>
      <c r="U1287">
        <v>0</v>
      </c>
      <c r="V1287">
        <v>9.6652436880376696E-2</v>
      </c>
      <c r="W1287">
        <v>3.5174075961105028E-2</v>
      </c>
      <c r="X1287">
        <v>7.1575305469795594E-3</v>
      </c>
      <c r="Y1287">
        <v>1.6074696085480054E-3</v>
      </c>
    </row>
    <row r="1288" spans="1:25" x14ac:dyDescent="0.25">
      <c r="A1288" s="1096"/>
      <c r="B1288" s="1455">
        <v>1038</v>
      </c>
      <c r="C1288" s="1100">
        <v>1.0133971724002198</v>
      </c>
      <c r="D1288" s="1100">
        <v>1.0184787462916629</v>
      </c>
      <c r="E1288" s="1100">
        <v>0.98337845774251931</v>
      </c>
      <c r="F1288" s="1100">
        <v>1.0162935301572893</v>
      </c>
      <c r="G1288" s="1100">
        <v>0.99818559740991775</v>
      </c>
      <c r="H1288" s="1100">
        <v>1.0066327910594723</v>
      </c>
      <c r="I1288" s="1100">
        <v>0.96729263319578918</v>
      </c>
      <c r="K1288">
        <v>1.3268658169712808</v>
      </c>
      <c r="L1288">
        <v>0</v>
      </c>
      <c r="M1288">
        <v>6.1341490871448317E-4</v>
      </c>
      <c r="N1288">
        <v>5.3642654008061022E-2</v>
      </c>
      <c r="O1288">
        <v>7.5994485531536218E-3</v>
      </c>
      <c r="P1288">
        <v>1.6224143631763339E-2</v>
      </c>
      <c r="Q1288">
        <v>4.3266619253820408E-4</v>
      </c>
      <c r="R1288">
        <v>6.116167539338336E-4</v>
      </c>
      <c r="S1288">
        <v>5.7426582877276672E-2</v>
      </c>
      <c r="T1288">
        <v>1.0497068850319224</v>
      </c>
      <c r="U1288">
        <v>0</v>
      </c>
      <c r="V1288">
        <v>9.7285501819890152E-2</v>
      </c>
      <c r="W1288">
        <v>3.5591751453169243E-2</v>
      </c>
      <c r="X1288">
        <v>7.2933623734864122E-3</v>
      </c>
      <c r="Y1288">
        <v>1.6646191847991469E-3</v>
      </c>
    </row>
    <row r="1289" spans="1:25" x14ac:dyDescent="0.25">
      <c r="A1289" s="1096"/>
      <c r="B1289" s="1455">
        <v>1039</v>
      </c>
      <c r="C1289" s="1100">
        <v>1.0077291964896078</v>
      </c>
      <c r="D1289" s="1100">
        <v>0.99433486182344644</v>
      </c>
      <c r="E1289" s="1100">
        <v>0.97837572416748486</v>
      </c>
      <c r="F1289" s="1100">
        <v>1.0162172415205146</v>
      </c>
      <c r="G1289" s="1100">
        <v>0.97710773459204392</v>
      </c>
      <c r="H1289" s="1100">
        <v>1.0011846339141643</v>
      </c>
      <c r="I1289" s="1100">
        <v>1.001977341770659</v>
      </c>
      <c r="K1289">
        <v>1.3296856455537891</v>
      </c>
      <c r="L1289">
        <v>0</v>
      </c>
      <c r="M1289">
        <v>6.2588453293274725E-4</v>
      </c>
      <c r="N1289">
        <v>5.3910069952938733E-2</v>
      </c>
      <c r="O1289">
        <v>7.7146656019233548E-3</v>
      </c>
      <c r="P1289">
        <v>1.619198553966188E-2</v>
      </c>
      <c r="Q1289">
        <v>4.3699933711697738E-4</v>
      </c>
      <c r="R1289">
        <v>6.2403984094210475E-4</v>
      </c>
      <c r="S1289">
        <v>6.0423517454397078E-2</v>
      </c>
      <c r="T1289">
        <v>1.049782314786458</v>
      </c>
      <c r="U1289">
        <v>0</v>
      </c>
      <c r="V1289">
        <v>9.6397956228211845E-2</v>
      </c>
      <c r="W1289">
        <v>3.5877319701712852E-2</v>
      </c>
      <c r="X1289">
        <v>7.2542309109916584E-3</v>
      </c>
      <c r="Y1289">
        <v>1.6984307323661295E-3</v>
      </c>
    </row>
    <row r="1290" spans="1:25" x14ac:dyDescent="0.25">
      <c r="A1290" s="1096"/>
      <c r="B1290" s="1455">
        <v>1040</v>
      </c>
      <c r="C1290" s="1100">
        <v>1.0080914821856717</v>
      </c>
      <c r="D1290" s="1100">
        <v>0.98617470318910905</v>
      </c>
      <c r="E1290" s="1100">
        <v>1.0279149368022176</v>
      </c>
      <c r="F1290" s="1100">
        <v>0.99377872237551779</v>
      </c>
      <c r="G1290" s="1100">
        <v>1.0144523358707094</v>
      </c>
      <c r="H1290" s="1100">
        <v>1.0337290812755831</v>
      </c>
      <c r="I1290" s="1100">
        <v>1.0006106475224286</v>
      </c>
      <c r="K1290">
        <v>1.3155558383150188</v>
      </c>
      <c r="L1290">
        <v>0</v>
      </c>
      <c r="M1290">
        <v>5.8480822610478716E-4</v>
      </c>
      <c r="N1290">
        <v>5.8507950331746335E-2</v>
      </c>
      <c r="O1290">
        <v>7.749490899310328E-3</v>
      </c>
      <c r="P1290">
        <v>1.6499500182044231E-2</v>
      </c>
      <c r="Q1290">
        <v>4.6134550006312822E-4</v>
      </c>
      <c r="R1290">
        <v>5.8313886397512004E-4</v>
      </c>
      <c r="S1290">
        <v>6.162747251624822E-2</v>
      </c>
      <c r="T1290">
        <v>1.0251418655232833</v>
      </c>
      <c r="U1290">
        <v>0</v>
      </c>
      <c r="V1290">
        <v>9.8250898616901602E-2</v>
      </c>
      <c r="W1290">
        <v>3.7810163831411739E-2</v>
      </c>
      <c r="X1290">
        <v>7.9217085200745559E-3</v>
      </c>
      <c r="Y1290">
        <v>1.5871117560654303E-3</v>
      </c>
    </row>
    <row r="1291" spans="1:25" x14ac:dyDescent="0.25">
      <c r="A1291" s="1096"/>
      <c r="B1291" s="1455">
        <v>1041</v>
      </c>
      <c r="C1291" s="1100">
        <v>0.9916413114935515</v>
      </c>
      <c r="D1291" s="1100">
        <v>0.97023147561294742</v>
      </c>
      <c r="E1291" s="1100">
        <v>0.99232858372449706</v>
      </c>
      <c r="F1291" s="1100">
        <v>1.0265991590714316</v>
      </c>
      <c r="G1291" s="1100">
        <v>1.022548361426983</v>
      </c>
      <c r="H1291" s="1100">
        <v>1.0279849394039584</v>
      </c>
      <c r="I1291" s="1100">
        <v>1.0007944479709114</v>
      </c>
      <c r="K1291">
        <v>1.3519212178458893</v>
      </c>
      <c r="L1291">
        <v>0</v>
      </c>
      <c r="M1291">
        <v>6.4073469451697324E-4</v>
      </c>
      <c r="N1291">
        <v>5.7572436874297181E-2</v>
      </c>
      <c r="O1291">
        <v>7.9206448021617252E-3</v>
      </c>
      <c r="P1291">
        <v>1.6573586337069433E-2</v>
      </c>
      <c r="Q1291">
        <v>4.5505610629232657E-4</v>
      </c>
      <c r="R1291">
        <v>6.3889546762982798E-4</v>
      </c>
      <c r="S1291">
        <v>6.299432751976837E-2</v>
      </c>
      <c r="T1291">
        <v>1.0600745198741384</v>
      </c>
      <c r="U1291">
        <v>0</v>
      </c>
      <c r="V1291">
        <v>9.9010385708956442E-2</v>
      </c>
      <c r="W1291">
        <v>3.7994541465006922E-2</v>
      </c>
      <c r="X1291">
        <v>7.5886955340315069E-3</v>
      </c>
      <c r="Y1291">
        <v>1.7388628510540912E-3</v>
      </c>
    </row>
    <row r="1292" spans="1:25" x14ac:dyDescent="0.25">
      <c r="A1292" s="1096"/>
      <c r="B1292" s="1455">
        <v>1042</v>
      </c>
      <c r="C1292" s="1100">
        <v>0.98439551299822803</v>
      </c>
      <c r="D1292" s="1100">
        <v>0.95980443245255931</v>
      </c>
      <c r="E1292" s="1100">
        <v>1.0485378596167509</v>
      </c>
      <c r="F1292" s="1100">
        <v>1.0037643636326878</v>
      </c>
      <c r="G1292" s="1100">
        <v>0.97155701741210088</v>
      </c>
      <c r="H1292" s="1100">
        <v>0.98432275318292051</v>
      </c>
      <c r="I1292" s="1100">
        <v>0.97923676053785558</v>
      </c>
      <c r="K1292">
        <v>1.3243086012991152</v>
      </c>
      <c r="L1292">
        <v>0</v>
      </c>
      <c r="M1292">
        <v>5.5220099155386981E-4</v>
      </c>
      <c r="N1292">
        <v>5.8778663668911955E-2</v>
      </c>
      <c r="O1292">
        <v>8.0277983344095357E-3</v>
      </c>
      <c r="P1292">
        <v>1.6856674153645126E-2</v>
      </c>
      <c r="Q1292">
        <v>4.8771370366756809E-4</v>
      </c>
      <c r="R1292">
        <v>5.5054558955103716E-4</v>
      </c>
      <c r="S1292">
        <v>6.1158918883604529E-2</v>
      </c>
      <c r="T1292">
        <v>1.0348499289767719</v>
      </c>
      <c r="U1292">
        <v>0</v>
      </c>
      <c r="V1292">
        <v>9.6790706583407479E-2</v>
      </c>
      <c r="W1292">
        <v>3.7535979196355616E-2</v>
      </c>
      <c r="X1292">
        <v>8.3254695928908426E-3</v>
      </c>
      <c r="Y1292">
        <v>1.4984036074531034E-3</v>
      </c>
    </row>
    <row r="1293" spans="1:25" x14ac:dyDescent="0.25">
      <c r="A1293" s="1096"/>
      <c r="B1293" s="1455">
        <v>1043</v>
      </c>
      <c r="C1293" s="1100">
        <v>1.0082564725766898</v>
      </c>
      <c r="D1293" s="1100">
        <v>0.99715679882405361</v>
      </c>
      <c r="E1293" s="1100">
        <v>1.0115794908370064</v>
      </c>
      <c r="F1293" s="1100">
        <v>1.0068241532155455</v>
      </c>
      <c r="G1293" s="1100">
        <v>1.027111353218672</v>
      </c>
      <c r="H1293" s="1100">
        <v>0.98336973768716118</v>
      </c>
      <c r="I1293" s="1100">
        <v>0.95697569575159536</v>
      </c>
      <c r="K1293">
        <v>1.3190100216279317</v>
      </c>
      <c r="L1293">
        <v>0</v>
      </c>
      <c r="M1293">
        <v>5.729135759847461E-4</v>
      </c>
      <c r="N1293">
        <v>5.4553698484235358E-2</v>
      </c>
      <c r="O1293">
        <v>7.70998195813707E-3</v>
      </c>
      <c r="P1293">
        <v>1.6440707399152397E-2</v>
      </c>
      <c r="Q1293">
        <v>4.5159862587559012E-4</v>
      </c>
      <c r="R1293">
        <v>5.7119441679623459E-4</v>
      </c>
      <c r="S1293">
        <v>5.710575718759673E-2</v>
      </c>
      <c r="T1293">
        <v>1.0390789006470165</v>
      </c>
      <c r="U1293">
        <v>0</v>
      </c>
      <c r="V1293">
        <v>9.884092937857239E-2</v>
      </c>
      <c r="W1293">
        <v>3.5593388279953557E-2</v>
      </c>
      <c r="X1293">
        <v>7.6821759182514205E-3</v>
      </c>
      <c r="Y1293">
        <v>1.5546029083304588E-3</v>
      </c>
    </row>
    <row r="1294" spans="1:25" x14ac:dyDescent="0.25">
      <c r="A1294" s="1096"/>
      <c r="B1294" s="1455">
        <v>1044</v>
      </c>
      <c r="C1294" s="1100">
        <v>0.99382971335266257</v>
      </c>
      <c r="D1294" s="1100">
        <v>0.99486917311257606</v>
      </c>
      <c r="E1294" s="1100">
        <v>0.98345444866987386</v>
      </c>
      <c r="F1294" s="1100">
        <v>0.99836603818143965</v>
      </c>
      <c r="G1294" s="1100">
        <v>1.0187260215336427</v>
      </c>
      <c r="H1294" s="1100">
        <v>1.0044010714135403</v>
      </c>
      <c r="I1294" s="1100">
        <v>0.98921381739410452</v>
      </c>
      <c r="K1294">
        <v>1.3154624955053424</v>
      </c>
      <c r="L1294">
        <v>0</v>
      </c>
      <c r="M1294">
        <v>6.2988932976271097E-4</v>
      </c>
      <c r="N1294">
        <v>5.5095632510725988E-2</v>
      </c>
      <c r="O1294">
        <v>7.8221336202553386E-3</v>
      </c>
      <c r="P1294">
        <v>1.6037914255143153E-2</v>
      </c>
      <c r="Q1294">
        <v>4.4537885348153796E-4</v>
      </c>
      <c r="R1294">
        <v>6.2803877942704323E-4</v>
      </c>
      <c r="S1294">
        <v>6.0573571856133601E-2</v>
      </c>
      <c r="T1294">
        <v>1.031187683279049</v>
      </c>
      <c r="U1294">
        <v>0</v>
      </c>
      <c r="V1294">
        <v>9.8760529197703895E-2</v>
      </c>
      <c r="W1294">
        <v>3.6554125847361653E-2</v>
      </c>
      <c r="X1294">
        <v>7.278062111152556E-3</v>
      </c>
      <c r="Y1294">
        <v>1.7093145246724144E-3</v>
      </c>
    </row>
    <row r="1295" spans="1:25" x14ac:dyDescent="0.25">
      <c r="A1295" s="1096"/>
      <c r="B1295" s="1455">
        <v>1045</v>
      </c>
      <c r="C1295" s="1100">
        <v>0.99183971906251855</v>
      </c>
      <c r="D1295" s="1100">
        <v>0.98854738749824511</v>
      </c>
      <c r="E1295" s="1100">
        <v>1.0126300608074865</v>
      </c>
      <c r="F1295" s="1100">
        <v>1.0171524638248994</v>
      </c>
      <c r="G1295" s="1100">
        <v>0.96291916963835933</v>
      </c>
      <c r="H1295" s="1100">
        <v>1.0103877584715255</v>
      </c>
      <c r="I1295" s="1100">
        <v>1.0202903485094952</v>
      </c>
      <c r="K1295">
        <v>1.337859449741748</v>
      </c>
      <c r="L1295">
        <v>0</v>
      </c>
      <c r="M1295">
        <v>5.9916726389095645E-4</v>
      </c>
      <c r="N1295">
        <v>5.7239435160592128E-2</v>
      </c>
      <c r="O1295">
        <v>7.8650904236251973E-3</v>
      </c>
      <c r="P1295">
        <v>1.6644292902619505E-2</v>
      </c>
      <c r="Q1295">
        <v>4.6116732905380077E-4</v>
      </c>
      <c r="R1295">
        <v>5.9741740181177649E-4</v>
      </c>
      <c r="S1295">
        <v>6.3034749916439758E-2</v>
      </c>
      <c r="T1295">
        <v>1.0497066683973724</v>
      </c>
      <c r="U1295">
        <v>0</v>
      </c>
      <c r="V1295">
        <v>9.6143360557759003E-2</v>
      </c>
      <c r="W1295">
        <v>3.7322598653263893E-2</v>
      </c>
      <c r="X1295">
        <v>7.8178630339620515E-3</v>
      </c>
      <c r="Y1295">
        <v>1.6259732291380772E-3</v>
      </c>
    </row>
    <row r="1296" spans="1:25" x14ac:dyDescent="0.25">
      <c r="A1296" s="1096"/>
      <c r="B1296" s="1455">
        <v>1046</v>
      </c>
      <c r="C1296" s="1100">
        <v>1.0165716213560494</v>
      </c>
      <c r="D1296" s="1100">
        <v>0.96261879319933619</v>
      </c>
      <c r="E1296" s="1100">
        <v>1.0062225442332746</v>
      </c>
      <c r="F1296" s="1100">
        <v>1.010528577073543</v>
      </c>
      <c r="G1296" s="1100">
        <v>0.98957320705969132</v>
      </c>
      <c r="H1296" s="1100">
        <v>1.0363242359595817</v>
      </c>
      <c r="I1296" s="1100">
        <v>0.99520893024149437</v>
      </c>
      <c r="K1296">
        <v>1.3307296288544614</v>
      </c>
      <c r="L1296">
        <v>0</v>
      </c>
      <c r="M1296">
        <v>6.1412545538490826E-4</v>
      </c>
      <c r="N1296">
        <v>5.7548595517982956E-2</v>
      </c>
      <c r="O1296">
        <v>7.7541891209759132E-3</v>
      </c>
      <c r="P1296">
        <v>1.6464538403039648E-2</v>
      </c>
      <c r="Q1296">
        <v>4.5176083187752964E-4</v>
      </c>
      <c r="R1296">
        <v>6.1237679584057094E-4</v>
      </c>
      <c r="S1296">
        <v>6.1631674104852811E-2</v>
      </c>
      <c r="T1296">
        <v>1.0430616948662368</v>
      </c>
      <c r="U1296">
        <v>0</v>
      </c>
      <c r="V1296">
        <v>9.6817773414558814E-2</v>
      </c>
      <c r="W1296">
        <v>3.7666297219843874E-2</v>
      </c>
      <c r="X1296">
        <v>7.6681662663144702E-3</v>
      </c>
      <c r="Y1296">
        <v>1.666687768321539E-3</v>
      </c>
    </row>
    <row r="1297" spans="1:25" x14ac:dyDescent="0.25">
      <c r="A1297" s="1096"/>
      <c r="B1297" s="1455">
        <v>1047</v>
      </c>
      <c r="C1297" s="1100">
        <v>0.99857543287868833</v>
      </c>
      <c r="D1297" s="1100">
        <v>1.0156980051347617</v>
      </c>
      <c r="E1297" s="1100">
        <v>1.0013726575559556</v>
      </c>
      <c r="F1297" s="1100">
        <v>0.99402209396337893</v>
      </c>
      <c r="G1297" s="1100">
        <v>0.97981898580798932</v>
      </c>
      <c r="H1297" s="1100">
        <v>1.0006217735839593</v>
      </c>
      <c r="I1297" s="1100">
        <v>1.0184639493627372</v>
      </c>
      <c r="K1297">
        <v>1.3089604620271442</v>
      </c>
      <c r="L1297">
        <v>0</v>
      </c>
      <c r="M1297">
        <v>5.9680991338563645E-4</v>
      </c>
      <c r="N1297">
        <v>5.5107112990693513E-2</v>
      </c>
      <c r="O1297">
        <v>7.725075714968486E-3</v>
      </c>
      <c r="P1297">
        <v>1.6169338031233389E-2</v>
      </c>
      <c r="Q1297">
        <v>4.4788053091324252E-4</v>
      </c>
      <c r="R1297">
        <v>5.9504992461098462E-4</v>
      </c>
      <c r="S1297">
        <v>6.128366473398978E-2</v>
      </c>
      <c r="T1297">
        <v>1.0261667485848449</v>
      </c>
      <c r="U1297">
        <v>0</v>
      </c>
      <c r="V1297">
        <v>9.6779880869976131E-2</v>
      </c>
      <c r="W1297">
        <v>3.6172120666694396E-2</v>
      </c>
      <c r="X1297">
        <v>7.4908701559691353E-3</v>
      </c>
      <c r="Y1297">
        <v>1.6195297366361709E-3</v>
      </c>
    </row>
    <row r="1298" spans="1:25" x14ac:dyDescent="0.25">
      <c r="A1298" s="1096"/>
      <c r="B1298" s="1455">
        <v>1048</v>
      </c>
      <c r="C1298" s="1100">
        <v>1.0240151841650182</v>
      </c>
      <c r="D1298" s="1100">
        <v>0.9770006190431858</v>
      </c>
      <c r="E1298" s="1100">
        <v>0.96905796275852252</v>
      </c>
      <c r="F1298" s="1100">
        <v>1.0330662411032561</v>
      </c>
      <c r="G1298" s="1100">
        <v>0.99380291971015933</v>
      </c>
      <c r="H1298" s="1100">
        <v>0.98205188019317935</v>
      </c>
      <c r="I1298" s="1100">
        <v>1.0157227803221052</v>
      </c>
      <c r="K1298">
        <v>1.3444924628345227</v>
      </c>
      <c r="L1298">
        <v>0</v>
      </c>
      <c r="M1298">
        <v>6.2024921696007243E-4</v>
      </c>
      <c r="N1298">
        <v>5.1935872512210754E-2</v>
      </c>
      <c r="O1298">
        <v>7.6433217853719071E-3</v>
      </c>
      <c r="P1298">
        <v>1.6316121883449268E-2</v>
      </c>
      <c r="Q1298">
        <v>4.2886280669370561E-4</v>
      </c>
      <c r="R1298">
        <v>6.1838551864936916E-4</v>
      </c>
      <c r="S1298">
        <v>6.0256167224442415E-2</v>
      </c>
      <c r="T1298">
        <v>1.0674819091581573</v>
      </c>
      <c r="U1298">
        <v>0</v>
      </c>
      <c r="V1298">
        <v>9.6804333371274892E-2</v>
      </c>
      <c r="W1298">
        <v>3.4759474696185184E-2</v>
      </c>
      <c r="X1298">
        <v>7.1852215640147163E-3</v>
      </c>
      <c r="Y1298">
        <v>1.6830415310321466E-3</v>
      </c>
    </row>
    <row r="1299" spans="1:25" x14ac:dyDescent="0.25">
      <c r="A1299" s="1096"/>
      <c r="B1299" s="1455">
        <v>1049</v>
      </c>
      <c r="C1299" s="1100">
        <v>1.0077128285928227</v>
      </c>
      <c r="D1299" s="1100">
        <v>0.99592906387212832</v>
      </c>
      <c r="E1299" s="1100">
        <v>0.97562716617712086</v>
      </c>
      <c r="F1299" s="1100">
        <v>0.99579511907743035</v>
      </c>
      <c r="G1299" s="1100">
        <v>0.97956761728362962</v>
      </c>
      <c r="H1299" s="1100">
        <v>0.9653943335363635</v>
      </c>
      <c r="I1299" s="1100">
        <v>1.0041467069117407</v>
      </c>
      <c r="K1299">
        <v>1.3037967909884365</v>
      </c>
      <c r="L1299">
        <v>0</v>
      </c>
      <c r="M1299">
        <v>6.0656960505364363E-4</v>
      </c>
      <c r="N1299">
        <v>5.1807930645240807E-2</v>
      </c>
      <c r="O1299">
        <v>7.7091807069590325E-3</v>
      </c>
      <c r="P1299">
        <v>1.5864726141968336E-2</v>
      </c>
      <c r="Q1299">
        <v>4.3546836785892778E-4</v>
      </c>
      <c r="R1299">
        <v>6.0471556241706098E-4</v>
      </c>
      <c r="S1299">
        <v>5.9410290052626262E-2</v>
      </c>
      <c r="T1299">
        <v>1.0287690102729188</v>
      </c>
      <c r="U1299">
        <v>0</v>
      </c>
      <c r="V1299">
        <v>9.6514327911284392E-2</v>
      </c>
      <c r="W1299">
        <v>3.4535745144254462E-2</v>
      </c>
      <c r="X1299">
        <v>7.1061293714952192E-3</v>
      </c>
      <c r="Y1299">
        <v>1.6458364164676641E-3</v>
      </c>
    </row>
    <row r="1300" spans="1:25" x14ac:dyDescent="0.25">
      <c r="A1300" s="1096"/>
      <c r="B1300" s="1455">
        <v>1050</v>
      </c>
      <c r="C1300" s="1100">
        <v>0.99247312026885848</v>
      </c>
      <c r="D1300" s="1100">
        <v>0.97653719443102127</v>
      </c>
      <c r="E1300" s="1100">
        <v>0.98021512332372118</v>
      </c>
      <c r="F1300" s="1100">
        <v>0.97852179908620152</v>
      </c>
      <c r="G1300" s="1100">
        <v>1.0055399501165585</v>
      </c>
      <c r="H1300" s="1100">
        <v>0.98066825721178097</v>
      </c>
      <c r="I1300" s="1100">
        <v>1.0092303684813853</v>
      </c>
      <c r="K1300">
        <v>1.2936690272362368</v>
      </c>
      <c r="L1300">
        <v>0</v>
      </c>
      <c r="M1300">
        <v>6.2461607226679122E-4</v>
      </c>
      <c r="N1300">
        <v>5.4097739540872776E-2</v>
      </c>
      <c r="O1300">
        <v>7.8905075695130493E-3</v>
      </c>
      <c r="P1300">
        <v>1.5732184769757195E-2</v>
      </c>
      <c r="Q1300">
        <v>4.4779668240576171E-4</v>
      </c>
      <c r="R1300">
        <v>6.2273660461481127E-4</v>
      </c>
      <c r="S1300">
        <v>6.1757288552846887E-2</v>
      </c>
      <c r="T1300">
        <v>1.01078712578372</v>
      </c>
      <c r="U1300">
        <v>0</v>
      </c>
      <c r="V1300">
        <v>9.8153170758564293E-2</v>
      </c>
      <c r="W1300">
        <v>3.5962227618723655E-2</v>
      </c>
      <c r="X1300">
        <v>7.1479816747896359E-3</v>
      </c>
      <c r="Y1300">
        <v>1.6948837526949757E-3</v>
      </c>
    </row>
    <row r="1301" spans="1:25" x14ac:dyDescent="0.25">
      <c r="A1301" s="1096"/>
      <c r="B1301" s="1455">
        <v>1051</v>
      </c>
      <c r="C1301" s="1100">
        <v>0.99083879602729108</v>
      </c>
      <c r="D1301" s="1100">
        <v>0.98474876057694405</v>
      </c>
      <c r="E1301" s="1100">
        <v>0.99916745147124364</v>
      </c>
      <c r="F1301" s="1100">
        <v>0.98422789205461925</v>
      </c>
      <c r="G1301" s="1100">
        <v>1.0277886570829564</v>
      </c>
      <c r="H1301" s="1100">
        <v>1.0099771184891089</v>
      </c>
      <c r="I1301" s="1100">
        <v>0.99834354916361312</v>
      </c>
      <c r="K1301">
        <v>1.3046443558275869</v>
      </c>
      <c r="L1301">
        <v>0</v>
      </c>
      <c r="M1301">
        <v>6.1747277802337173E-4</v>
      </c>
      <c r="N1301">
        <v>5.6638006354945161E-2</v>
      </c>
      <c r="O1301">
        <v>7.8818105661649079E-3</v>
      </c>
      <c r="P1301">
        <v>1.6047706665899247E-2</v>
      </c>
      <c r="Q1301">
        <v>4.5595597066161084E-4</v>
      </c>
      <c r="R1301">
        <v>6.1566872166953044E-4</v>
      </c>
      <c r="S1301">
        <v>6.1842551584960714E-2</v>
      </c>
      <c r="T1301">
        <v>1.0161204075317807</v>
      </c>
      <c r="U1301">
        <v>0</v>
      </c>
      <c r="V1301">
        <v>9.9291825286245528E-2</v>
      </c>
      <c r="W1301">
        <v>3.7225741557175764E-2</v>
      </c>
      <c r="X1301">
        <v>7.4665070608594094E-3</v>
      </c>
      <c r="Y1301">
        <v>1.6756473052449083E-3</v>
      </c>
    </row>
    <row r="1302" spans="1:25" x14ac:dyDescent="0.25">
      <c r="A1302" s="1096"/>
      <c r="B1302" s="1455">
        <v>1052</v>
      </c>
      <c r="C1302" s="1100">
        <v>0.98117939849714586</v>
      </c>
      <c r="D1302" s="1100">
        <v>0.9847647057694987</v>
      </c>
      <c r="E1302" s="1100">
        <v>1.021952042343975</v>
      </c>
      <c r="F1302" s="1100">
        <v>0.98450844804674442</v>
      </c>
      <c r="G1302" s="1100">
        <v>0.96857350309874646</v>
      </c>
      <c r="H1302" s="1100">
        <v>1.0241193342960691</v>
      </c>
      <c r="I1302" s="1100">
        <v>0.9943124231669116</v>
      </c>
      <c r="K1302">
        <v>1.3069896069901499</v>
      </c>
      <c r="L1302">
        <v>0</v>
      </c>
      <c r="M1302">
        <v>6.0304478864202024E-4</v>
      </c>
      <c r="N1302">
        <v>5.925564347299743E-2</v>
      </c>
      <c r="O1302">
        <v>7.9650976821721061E-3</v>
      </c>
      <c r="P1302">
        <v>1.6290492931314658E-2</v>
      </c>
      <c r="Q1302">
        <v>4.7138603324150847E-4</v>
      </c>
      <c r="R1302">
        <v>6.0130721659275668E-4</v>
      </c>
      <c r="S1302">
        <v>6.2662022221469674E-2</v>
      </c>
      <c r="T1302">
        <v>1.0157494178872035</v>
      </c>
      <c r="U1302">
        <v>0</v>
      </c>
      <c r="V1302">
        <v>9.6698904729584631E-2</v>
      </c>
      <c r="W1302">
        <v>3.8426658128681367E-2</v>
      </c>
      <c r="X1302">
        <v>7.8351614528381717E-3</v>
      </c>
      <c r="Y1302">
        <v>1.6365600226948063E-3</v>
      </c>
    </row>
    <row r="1303" spans="1:25" x14ac:dyDescent="0.25">
      <c r="A1303" s="1096"/>
      <c r="B1303" s="1455">
        <v>1053</v>
      </c>
      <c r="C1303" s="1100">
        <v>0.99634770054903843</v>
      </c>
      <c r="D1303" s="1100">
        <v>0.97914928457760841</v>
      </c>
      <c r="E1303" s="1100">
        <v>1.0037228239979601</v>
      </c>
      <c r="F1303" s="1100">
        <v>1.0005117304692837</v>
      </c>
      <c r="G1303" s="1100">
        <v>0.99752289773796676</v>
      </c>
      <c r="H1303" s="1100">
        <v>1.002783834175307</v>
      </c>
      <c r="I1303" s="1100">
        <v>0.97349688912299204</v>
      </c>
      <c r="K1303">
        <v>1.3174495113340952</v>
      </c>
      <c r="L1303">
        <v>0</v>
      </c>
      <c r="M1303">
        <v>6.053292044813619E-4</v>
      </c>
      <c r="N1303">
        <v>5.629231347382864E-2</v>
      </c>
      <c r="O1303">
        <v>7.8572625225300959E-3</v>
      </c>
      <c r="P1303">
        <v>1.6282470999285793E-2</v>
      </c>
      <c r="Q1303">
        <v>4.5662029355360463E-4</v>
      </c>
      <c r="R1303">
        <v>6.035479411756234E-4</v>
      </c>
      <c r="S1303">
        <v>5.9941620825479901E-2</v>
      </c>
      <c r="T1303">
        <v>1.0327964364740283</v>
      </c>
      <c r="U1303">
        <v>0</v>
      </c>
      <c r="V1303">
        <v>9.7694467657543096E-2</v>
      </c>
      <c r="W1303">
        <v>3.6898609520293592E-2</v>
      </c>
      <c r="X1303">
        <v>7.5888322945018571E-3</v>
      </c>
      <c r="Y1303">
        <v>1.6426585363547102E-3</v>
      </c>
    </row>
    <row r="1304" spans="1:25" x14ac:dyDescent="0.25">
      <c r="A1304" s="1096"/>
      <c r="B1304" s="1455">
        <v>1054</v>
      </c>
      <c r="C1304" s="1100">
        <v>0.97521695960236177</v>
      </c>
      <c r="D1304" s="1100">
        <v>1.018739065512106</v>
      </c>
      <c r="E1304" s="1100">
        <v>1.0343193061539475</v>
      </c>
      <c r="F1304" s="1100">
        <v>1.0384083181205364</v>
      </c>
      <c r="G1304" s="1100">
        <v>0.96861416863854066</v>
      </c>
      <c r="H1304" s="1100">
        <v>1.0079334213523452</v>
      </c>
      <c r="I1304" s="1100">
        <v>0.98524697030484387</v>
      </c>
      <c r="K1304">
        <v>1.3603614082829705</v>
      </c>
      <c r="L1304">
        <v>0</v>
      </c>
      <c r="M1304">
        <v>5.7411235782443284E-4</v>
      </c>
      <c r="N1304">
        <v>5.8553179149227037E-2</v>
      </c>
      <c r="O1304">
        <v>7.9089079144565137E-3</v>
      </c>
      <c r="P1304">
        <v>1.7187614771524081E-2</v>
      </c>
      <c r="Q1304">
        <v>4.7382491066952424E-4</v>
      </c>
      <c r="R1304">
        <v>5.7243158558020659E-4</v>
      </c>
      <c r="S1304">
        <v>6.0864048637614014E-2</v>
      </c>
      <c r="T1304">
        <v>1.0709881364825558</v>
      </c>
      <c r="U1304">
        <v>0</v>
      </c>
      <c r="V1304">
        <v>9.6869307924104808E-2</v>
      </c>
      <c r="W1304">
        <v>3.7699105253610712E-2</v>
      </c>
      <c r="X1304">
        <v>8.2609939375239694E-3</v>
      </c>
      <c r="Y1304">
        <v>1.5579700739278501E-3</v>
      </c>
    </row>
    <row r="1305" spans="1:25" x14ac:dyDescent="0.25">
      <c r="A1305" s="1096"/>
      <c r="B1305" s="1455">
        <v>1055</v>
      </c>
      <c r="C1305" s="1100">
        <v>1.034840065807261</v>
      </c>
      <c r="D1305" s="1100">
        <v>0.96049215382709074</v>
      </c>
      <c r="E1305" s="1100">
        <v>0.99591361779208265</v>
      </c>
      <c r="F1305" s="1100">
        <v>1.0198191318791461</v>
      </c>
      <c r="G1305" s="1100">
        <v>1.0476973594284744</v>
      </c>
      <c r="H1305" s="1100">
        <v>1.0211545417676626</v>
      </c>
      <c r="I1305" s="1100">
        <v>0.96944775990980747</v>
      </c>
      <c r="K1305">
        <v>1.336006379918087</v>
      </c>
      <c r="L1305">
        <v>0</v>
      </c>
      <c r="M1305">
        <v>6.0784143055321864E-4</v>
      </c>
      <c r="N1305">
        <v>5.5210826963490771E-2</v>
      </c>
      <c r="O1305">
        <v>7.6215575343010818E-3</v>
      </c>
      <c r="P1305">
        <v>1.6464090923817742E-2</v>
      </c>
      <c r="Q1305">
        <v>4.394589059324E-4</v>
      </c>
      <c r="R1305">
        <v>6.0608495284122292E-4</v>
      </c>
      <c r="S1305">
        <v>5.8595529712852056E-2</v>
      </c>
      <c r="T1305">
        <v>1.0529639446779147</v>
      </c>
      <c r="U1305">
        <v>0</v>
      </c>
      <c r="V1305">
        <v>9.9187813510420997E-2</v>
      </c>
      <c r="W1305">
        <v>3.6358098978881696E-2</v>
      </c>
      <c r="X1305">
        <v>7.5172517424039725E-3</v>
      </c>
      <c r="Y1305">
        <v>1.649563445782801E-3</v>
      </c>
    </row>
    <row r="1306" spans="1:25" x14ac:dyDescent="0.25">
      <c r="A1306" s="1096"/>
      <c r="B1306" s="1455">
        <v>1056</v>
      </c>
      <c r="C1306" s="1100">
        <v>0.98335549098561259</v>
      </c>
      <c r="D1306" s="1100">
        <v>0.99505364142088581</v>
      </c>
      <c r="E1306" s="1100">
        <v>0.95549813269843609</v>
      </c>
      <c r="F1306" s="1100">
        <v>0.97688888481372327</v>
      </c>
      <c r="G1306" s="1100">
        <v>0.99645372189674619</v>
      </c>
      <c r="H1306" s="1100">
        <v>0.99299098963061772</v>
      </c>
      <c r="I1306" s="1100">
        <v>0.98712669865534841</v>
      </c>
      <c r="K1306">
        <v>1.2905365986681414</v>
      </c>
      <c r="L1306">
        <v>0</v>
      </c>
      <c r="M1306">
        <v>6.6670625046924689E-4</v>
      </c>
      <c r="N1306">
        <v>5.3580764273727703E-2</v>
      </c>
      <c r="O1306">
        <v>7.8979071719094025E-3</v>
      </c>
      <c r="P1306">
        <v>1.5406858682296621E-2</v>
      </c>
      <c r="Q1306">
        <v>4.3702196344355362E-4</v>
      </c>
      <c r="R1306">
        <v>6.64725028946068E-4</v>
      </c>
      <c r="S1306">
        <v>6.0705938804420899E-2</v>
      </c>
      <c r="T1306">
        <v>1.0098423052768002</v>
      </c>
      <c r="U1306">
        <v>0</v>
      </c>
      <c r="V1306">
        <v>9.7917764564788207E-2</v>
      </c>
      <c r="W1306">
        <v>3.6159380366769543E-2</v>
      </c>
      <c r="X1306">
        <v>6.7814763832620599E-3</v>
      </c>
      <c r="Y1306">
        <v>1.8091624022442965E-3</v>
      </c>
    </row>
    <row r="1307" spans="1:25" x14ac:dyDescent="0.25">
      <c r="A1307" s="1096"/>
      <c r="B1307" s="1455">
        <v>1057</v>
      </c>
      <c r="C1307" s="1100">
        <v>1.0086262331225044</v>
      </c>
      <c r="D1307" s="1100">
        <v>0.95785649795509176</v>
      </c>
      <c r="E1307" s="1100">
        <v>0.98475894786974139</v>
      </c>
      <c r="F1307" s="1100">
        <v>0.96534109462704598</v>
      </c>
      <c r="G1307" s="1100">
        <v>1.033656086548848</v>
      </c>
      <c r="H1307" s="1100">
        <v>1.0037048437110656</v>
      </c>
      <c r="I1307" s="1100">
        <v>1.0412644873984382</v>
      </c>
      <c r="K1307">
        <v>1.2847366977996846</v>
      </c>
      <c r="L1307">
        <v>0</v>
      </c>
      <c r="M1307">
        <v>6.2799876376259044E-4</v>
      </c>
      <c r="N1307">
        <v>5.5147325228247515E-2</v>
      </c>
      <c r="O1307">
        <v>7.8254809443441438E-3</v>
      </c>
      <c r="P1307">
        <v>1.5645660714179853E-2</v>
      </c>
      <c r="Q1307">
        <v>4.4615926290315531E-4</v>
      </c>
      <c r="R1307">
        <v>6.2615248792027855E-4</v>
      </c>
      <c r="S1307">
        <v>6.4096069664091107E-2</v>
      </c>
      <c r="T1307">
        <v>0.99703895221006056</v>
      </c>
      <c r="U1307">
        <v>0</v>
      </c>
      <c r="V1307">
        <v>9.9118452151982867E-2</v>
      </c>
      <c r="W1307">
        <v>3.6559706919613327E-2</v>
      </c>
      <c r="X1307">
        <v>7.1565563190958536E-3</v>
      </c>
      <c r="Y1307">
        <v>1.7041806610068296E-3</v>
      </c>
    </row>
    <row r="1308" spans="1:25" x14ac:dyDescent="0.25">
      <c r="A1308" s="1096"/>
      <c r="B1308" s="1455">
        <v>1058</v>
      </c>
      <c r="C1308" s="1100">
        <v>0.98361599669786337</v>
      </c>
      <c r="D1308" s="1100">
        <v>1.0150163565732639</v>
      </c>
      <c r="E1308" s="1100">
        <v>1.0180632783915915</v>
      </c>
      <c r="F1308" s="1100">
        <v>0.98612598023264164</v>
      </c>
      <c r="G1308" s="1100">
        <v>1.0337011024812517</v>
      </c>
      <c r="H1308" s="1100">
        <v>0.96647152710941087</v>
      </c>
      <c r="I1308" s="1100">
        <v>0.96590799190231835</v>
      </c>
      <c r="K1308">
        <v>1.2997245501065784</v>
      </c>
      <c r="L1308">
        <v>0</v>
      </c>
      <c r="M1308">
        <v>5.6541672282352218E-4</v>
      </c>
      <c r="N1308">
        <v>5.4900839817504848E-2</v>
      </c>
      <c r="O1308">
        <v>7.8488165270922949E-3</v>
      </c>
      <c r="P1308">
        <v>1.6247251494271024E-2</v>
      </c>
      <c r="Q1308">
        <v>4.627120498776072E-4</v>
      </c>
      <c r="R1308">
        <v>5.6369039447015364E-4</v>
      </c>
      <c r="S1308">
        <v>5.8024097204825653E-2</v>
      </c>
      <c r="T1308">
        <v>1.017530142746689</v>
      </c>
      <c r="U1308">
        <v>0</v>
      </c>
      <c r="V1308">
        <v>9.9783002891602551E-2</v>
      </c>
      <c r="W1308">
        <v>3.5683706468937738E-2</v>
      </c>
      <c r="X1308">
        <v>7.7115278008711395E-3</v>
      </c>
      <c r="Y1308">
        <v>1.5341794332591617E-3</v>
      </c>
    </row>
    <row r="1309" spans="1:25" x14ac:dyDescent="0.25">
      <c r="A1309" s="1096"/>
      <c r="B1309" s="1455">
        <v>1059</v>
      </c>
      <c r="C1309" s="1100">
        <v>0.97273693183985155</v>
      </c>
      <c r="D1309" s="1100">
        <v>1.0179888935731385</v>
      </c>
      <c r="E1309" s="1100">
        <v>0.99981616112395943</v>
      </c>
      <c r="F1309" s="1100">
        <v>0.99445790424900637</v>
      </c>
      <c r="G1309" s="1100">
        <v>0.9741194911635449</v>
      </c>
      <c r="H1309" s="1100">
        <v>1.0163819807803778</v>
      </c>
      <c r="I1309" s="1100">
        <v>0.99116958341578187</v>
      </c>
      <c r="K1309">
        <v>1.3142216882216797</v>
      </c>
      <c r="L1309">
        <v>0</v>
      </c>
      <c r="M1309">
        <v>6.2376276587552298E-4</v>
      </c>
      <c r="N1309">
        <v>5.7328266538738584E-2</v>
      </c>
      <c r="O1309">
        <v>7.9227410432794448E-3</v>
      </c>
      <c r="P1309">
        <v>1.6167376714778237E-2</v>
      </c>
      <c r="Q1309">
        <v>4.586228041219974E-4</v>
      </c>
      <c r="R1309">
        <v>6.2195181650647098E-4</v>
      </c>
      <c r="S1309">
        <v>6.1636998208246349E-2</v>
      </c>
      <c r="T1309">
        <v>1.0266626971714563</v>
      </c>
      <c r="U1309">
        <v>0</v>
      </c>
      <c r="V1309">
        <v>9.7161666591047649E-2</v>
      </c>
      <c r="W1309">
        <v>3.7664889472374459E-2</v>
      </c>
      <c r="X1309">
        <v>7.5274928088361935E-3</v>
      </c>
      <c r="Y1309">
        <v>1.6927478181694047E-3</v>
      </c>
    </row>
    <row r="1310" spans="1:25" x14ac:dyDescent="0.25">
      <c r="A1310" s="1096"/>
      <c r="B1310" s="1455">
        <v>1060</v>
      </c>
      <c r="C1310" s="1100">
        <v>0.98957278605963794</v>
      </c>
      <c r="D1310" s="1100">
        <v>1.0280100194806465</v>
      </c>
      <c r="E1310" s="1100">
        <v>1.0085396347816102</v>
      </c>
      <c r="F1310" s="1100">
        <v>0.99937756458505245</v>
      </c>
      <c r="G1310" s="1100">
        <v>0.99341789525775248</v>
      </c>
      <c r="H1310" s="1100">
        <v>0.98521422328011765</v>
      </c>
      <c r="I1310" s="1100">
        <v>1.0349656170333625</v>
      </c>
      <c r="K1310">
        <v>1.315596543476705</v>
      </c>
      <c r="L1310">
        <v>0</v>
      </c>
      <c r="M1310">
        <v>5.8140049547500048E-4</v>
      </c>
      <c r="N1310">
        <v>5.4856398133793179E-2</v>
      </c>
      <c r="O1310">
        <v>7.7596347017758307E-3</v>
      </c>
      <c r="P1310">
        <v>1.6350141168594418E-2</v>
      </c>
      <c r="Q1310">
        <v>4.5312795271027498E-4</v>
      </c>
      <c r="R1310">
        <v>5.7965913556066756E-4</v>
      </c>
      <c r="S1310">
        <v>6.1959387574643296E-2</v>
      </c>
      <c r="T1310">
        <v>1.0314832681663197</v>
      </c>
      <c r="U1310">
        <v>0</v>
      </c>
      <c r="V1310">
        <v>9.7671577252618172E-2</v>
      </c>
      <c r="W1310">
        <v>3.5855094499815117E-2</v>
      </c>
      <c r="X1310">
        <v>7.6320143039353017E-3</v>
      </c>
      <c r="Y1310">
        <v>1.5776410824134546E-3</v>
      </c>
    </row>
    <row r="1311" spans="1:25" x14ac:dyDescent="0.25">
      <c r="A1311" s="1096"/>
      <c r="B1311" s="1455">
        <v>1061</v>
      </c>
      <c r="C1311" s="1100">
        <v>1.0014030972091323</v>
      </c>
      <c r="D1311" s="1100">
        <v>0.9721491971290841</v>
      </c>
      <c r="E1311" s="1100">
        <v>1.0062900023490666</v>
      </c>
      <c r="F1311" s="1100">
        <v>1.0057813317127922</v>
      </c>
      <c r="G1311" s="1100">
        <v>0.98255942530624363</v>
      </c>
      <c r="H1311" s="1100">
        <v>1.0231078570878021</v>
      </c>
      <c r="I1311" s="1100">
        <v>0.95442116928312548</v>
      </c>
      <c r="K1311">
        <v>1.3233311927853117</v>
      </c>
      <c r="L1311">
        <v>0</v>
      </c>
      <c r="M1311">
        <v>6.129706104902018E-4</v>
      </c>
      <c r="N1311">
        <v>5.7449960297052703E-2</v>
      </c>
      <c r="O1311">
        <v>7.8407017373430653E-3</v>
      </c>
      <c r="P1311">
        <v>1.6366588575768649E-2</v>
      </c>
      <c r="Q1311">
        <v>4.5683194529858598E-4</v>
      </c>
      <c r="R1311">
        <v>6.1120269276220788E-4</v>
      </c>
      <c r="S1311">
        <v>5.9296740835870436E-2</v>
      </c>
      <c r="T1311">
        <v>1.0381596090645182</v>
      </c>
      <c r="U1311">
        <v>0</v>
      </c>
      <c r="V1311">
        <v>9.6847840389949161E-2</v>
      </c>
      <c r="W1311">
        <v>3.7600239068243085E-2</v>
      </c>
      <c r="X1311">
        <v>7.6509565422090602E-3</v>
      </c>
      <c r="Y1311">
        <v>1.6634922467852102E-3</v>
      </c>
    </row>
    <row r="1312" spans="1:25" x14ac:dyDescent="0.25">
      <c r="A1312" s="1096"/>
      <c r="B1312" s="1455">
        <v>1062</v>
      </c>
      <c r="C1312" s="1100">
        <v>1.0173791776400776</v>
      </c>
      <c r="D1312" s="1100">
        <v>1.0280228129547155</v>
      </c>
      <c r="E1312" s="1100">
        <v>1.0082589758272806</v>
      </c>
      <c r="F1312" s="1100">
        <v>1.0117481721051846</v>
      </c>
      <c r="G1312" s="1100">
        <v>0.99827745710240356</v>
      </c>
      <c r="H1312" s="1100">
        <v>0.99370916190237213</v>
      </c>
      <c r="I1312" s="1100">
        <v>0.9879831601989888</v>
      </c>
      <c r="K1312">
        <v>1.321847572659705</v>
      </c>
      <c r="L1312">
        <v>0</v>
      </c>
      <c r="M1312">
        <v>5.7071582817370622E-4</v>
      </c>
      <c r="N1312">
        <v>5.3804046163337158E-2</v>
      </c>
      <c r="O1312">
        <v>7.5474484334795431E-3</v>
      </c>
      <c r="P1312">
        <v>1.6458492276307402E-2</v>
      </c>
      <c r="Q1312">
        <v>4.4061347977589248E-4</v>
      </c>
      <c r="R1312">
        <v>5.6902108285969172E-4</v>
      </c>
      <c r="S1312">
        <v>5.7778685639883046E-2</v>
      </c>
      <c r="T1312">
        <v>1.0442596711112142</v>
      </c>
      <c r="U1312">
        <v>0</v>
      </c>
      <c r="V1312">
        <v>9.7221786234383351E-2</v>
      </c>
      <c r="W1312">
        <v>3.51730869116713E-2</v>
      </c>
      <c r="X1312">
        <v>7.6167493451734739E-3</v>
      </c>
      <c r="Y1312">
        <v>1.5486878097945289E-3</v>
      </c>
    </row>
    <row r="1313" spans="1:25" x14ac:dyDescent="0.25">
      <c r="A1313" s="1096"/>
      <c r="B1313" s="1455">
        <v>1063</v>
      </c>
      <c r="C1313" s="1100">
        <v>1.0208039062091911</v>
      </c>
      <c r="D1313" s="1100">
        <v>0.99794860754255232</v>
      </c>
      <c r="E1313" s="1100">
        <v>0.98468624927299708</v>
      </c>
      <c r="F1313" s="1100">
        <v>1.0220409657392771</v>
      </c>
      <c r="G1313" s="1100">
        <v>0.97414736493137777</v>
      </c>
      <c r="H1313" s="1100">
        <v>1.0258727478424303</v>
      </c>
      <c r="I1313" s="1100">
        <v>0.99420357688936012</v>
      </c>
      <c r="K1313">
        <v>1.3358869140783145</v>
      </c>
      <c r="L1313">
        <v>0</v>
      </c>
      <c r="M1313">
        <v>6.2398829306201825E-4</v>
      </c>
      <c r="N1313">
        <v>5.4786591464198939E-2</v>
      </c>
      <c r="O1313">
        <v>7.6063251636776016E-3</v>
      </c>
      <c r="P1313">
        <v>1.6333833371774444E-2</v>
      </c>
      <c r="Q1313">
        <v>4.3363243250644541E-4</v>
      </c>
      <c r="R1313">
        <v>6.2219344881598421E-4</v>
      </c>
      <c r="S1313">
        <v>5.9812385753862593E-2</v>
      </c>
      <c r="T1313">
        <v>1.0556028609119636</v>
      </c>
      <c r="U1313">
        <v>0</v>
      </c>
      <c r="V1313">
        <v>9.5946768062344118E-2</v>
      </c>
      <c r="W1313">
        <v>3.6322148307805294E-2</v>
      </c>
      <c r="X1313">
        <v>7.3507579927644083E-3</v>
      </c>
      <c r="Y1313">
        <v>1.6934054616618303E-3</v>
      </c>
    </row>
    <row r="1314" spans="1:25" x14ac:dyDescent="0.25">
      <c r="A1314" s="1096"/>
      <c r="B1314" s="1455">
        <v>1064</v>
      </c>
      <c r="C1314" s="1100">
        <v>1.0299998194298896</v>
      </c>
      <c r="D1314" s="1100">
        <v>0.99034695252226879</v>
      </c>
      <c r="E1314" s="1100">
        <v>1.0327318014587832</v>
      </c>
      <c r="F1314" s="1100">
        <v>0.97808250389996632</v>
      </c>
      <c r="G1314" s="1100">
        <v>1.0040856047107045</v>
      </c>
      <c r="H1314" s="1100">
        <v>0.98937980387715541</v>
      </c>
      <c r="I1314" s="1100">
        <v>0.981947229883392</v>
      </c>
      <c r="K1314">
        <v>1.2877449841779023</v>
      </c>
      <c r="L1314">
        <v>0</v>
      </c>
      <c r="M1314">
        <v>5.4142689468201046E-4</v>
      </c>
      <c r="N1314">
        <v>5.4953031102116655E-2</v>
      </c>
      <c r="O1314">
        <v>7.5730175208973509E-3</v>
      </c>
      <c r="P1314">
        <v>1.6260978043776603E-2</v>
      </c>
      <c r="Q1314">
        <v>4.5299144390486889E-4</v>
      </c>
      <c r="R1314">
        <v>5.3981208775980049E-4</v>
      </c>
      <c r="S1314">
        <v>5.7766085523770397E-2</v>
      </c>
      <c r="T1314">
        <v>1.0088142874534296</v>
      </c>
      <c r="U1314">
        <v>0</v>
      </c>
      <c r="V1314">
        <v>9.7231541722106421E-2</v>
      </c>
      <c r="W1314">
        <v>3.5413700952397036E-2</v>
      </c>
      <c r="X1314">
        <v>7.8117746685508506E-3</v>
      </c>
      <c r="Y1314">
        <v>1.4691905538752722E-3</v>
      </c>
    </row>
    <row r="1315" spans="1:25" x14ac:dyDescent="0.25">
      <c r="A1315" s="1096"/>
      <c r="B1315" s="1455">
        <v>1065</v>
      </c>
      <c r="C1315" s="1100">
        <v>1.0015217024483865</v>
      </c>
      <c r="D1315" s="1100">
        <v>0.99967635415890599</v>
      </c>
      <c r="E1315" s="1100">
        <v>1.0041053826986268</v>
      </c>
      <c r="F1315" s="1100">
        <v>0.99621892871235795</v>
      </c>
      <c r="G1315" s="1100">
        <v>1.0415130888529602</v>
      </c>
      <c r="H1315" s="1100">
        <v>0.97787468457388915</v>
      </c>
      <c r="I1315" s="1100">
        <v>1.0293909256994813</v>
      </c>
      <c r="K1315">
        <v>1.3129121592912452</v>
      </c>
      <c r="L1315">
        <v>0</v>
      </c>
      <c r="M1315">
        <v>5.8192768673179663E-4</v>
      </c>
      <c r="N1315">
        <v>5.4174592071475493E-2</v>
      </c>
      <c r="O1315">
        <v>7.7521626360456553E-3</v>
      </c>
      <c r="P1315">
        <v>1.6276076690815676E-2</v>
      </c>
      <c r="Q1315">
        <v>4.5068537265384006E-4</v>
      </c>
      <c r="R1315">
        <v>5.8017166601361685E-4</v>
      </c>
      <c r="S1315">
        <v>6.1576294400114348E-2</v>
      </c>
      <c r="T1315">
        <v>1.0283538143445148</v>
      </c>
      <c r="U1315">
        <v>0</v>
      </c>
      <c r="V1315">
        <v>9.969455162555331E-2</v>
      </c>
      <c r="W1315">
        <v>3.550243256198829E-2</v>
      </c>
      <c r="X1315">
        <v>7.5542695874518612E-3</v>
      </c>
      <c r="Y1315">
        <v>1.5790360213507645E-3</v>
      </c>
    </row>
    <row r="1316" spans="1:25" x14ac:dyDescent="0.25">
      <c r="A1316" s="1096"/>
      <c r="B1316" s="1455">
        <v>1066</v>
      </c>
      <c r="C1316" s="1100">
        <v>1.0078574620518785</v>
      </c>
      <c r="D1316" s="1100">
        <v>1.0031907097558215</v>
      </c>
      <c r="E1316" s="1100">
        <v>1.0102991091149813</v>
      </c>
      <c r="F1316" s="1100">
        <v>1.0126567789071095</v>
      </c>
      <c r="G1316" s="1100">
        <v>1.0353721520257295</v>
      </c>
      <c r="H1316" s="1100">
        <v>1.0165814555122554</v>
      </c>
      <c r="I1316" s="1100">
        <v>0.98408445232366548</v>
      </c>
      <c r="K1316">
        <v>1.3308743265658232</v>
      </c>
      <c r="L1316">
        <v>0</v>
      </c>
      <c r="M1316">
        <v>5.9264378014962005E-4</v>
      </c>
      <c r="N1316">
        <v>5.6220264097280176E-2</v>
      </c>
      <c r="O1316">
        <v>7.6941320695944572E-3</v>
      </c>
      <c r="P1316">
        <v>1.6547561019023195E-2</v>
      </c>
      <c r="Q1316">
        <v>4.5009409255836614E-4</v>
      </c>
      <c r="R1316">
        <v>5.9092351509925538E-4</v>
      </c>
      <c r="S1316">
        <v>5.9544384649412412E-2</v>
      </c>
      <c r="T1316">
        <v>1.0451365521678553</v>
      </c>
      <c r="U1316">
        <v>0</v>
      </c>
      <c r="V1316">
        <v>9.9248879135566861E-2</v>
      </c>
      <c r="W1316">
        <v>3.6708418047791458E-2</v>
      </c>
      <c r="X1316">
        <v>7.7174625415743414E-3</v>
      </c>
      <c r="Y1316">
        <v>1.6082990102157743E-3</v>
      </c>
    </row>
    <row r="1317" spans="1:25" x14ac:dyDescent="0.25">
      <c r="A1317" s="1096"/>
      <c r="B1317" s="1455">
        <v>1067</v>
      </c>
      <c r="C1317" s="1100">
        <v>0.98535521344589039</v>
      </c>
      <c r="D1317" s="1100">
        <v>1.0204284262143459</v>
      </c>
      <c r="E1317" s="1100">
        <v>1.0019069021816622</v>
      </c>
      <c r="F1317" s="1100">
        <v>1.014227929482475</v>
      </c>
      <c r="G1317" s="1100">
        <v>1.043411974975641</v>
      </c>
      <c r="H1317" s="1100">
        <v>0.99193050869309085</v>
      </c>
      <c r="I1317" s="1100">
        <v>1.018009510113107</v>
      </c>
      <c r="K1317">
        <v>1.3344485734595839</v>
      </c>
      <c r="L1317">
        <v>0</v>
      </c>
      <c r="M1317">
        <v>5.9778746574686123E-4</v>
      </c>
      <c r="N1317">
        <v>5.5285097127670609E-2</v>
      </c>
      <c r="O1317">
        <v>7.8143158817386652E-3</v>
      </c>
      <c r="P1317">
        <v>1.6512094414569068E-2</v>
      </c>
      <c r="Q1317">
        <v>4.5329759220169189E-4</v>
      </c>
      <c r="R1317">
        <v>5.9600914794930829E-4</v>
      </c>
      <c r="S1317">
        <v>6.1652377044382825E-2</v>
      </c>
      <c r="T1317">
        <v>1.0470098981453531</v>
      </c>
      <c r="U1317">
        <v>0</v>
      </c>
      <c r="V1317">
        <v>0.10018993247888346</v>
      </c>
      <c r="W1317">
        <v>3.6277442899935682E-2</v>
      </c>
      <c r="X1317">
        <v>7.633755766289948E-3</v>
      </c>
      <c r="Y1317">
        <v>1.6221404263551994E-3</v>
      </c>
    </row>
    <row r="1318" spans="1:25" x14ac:dyDescent="0.25">
      <c r="A1318" s="1096"/>
      <c r="B1318" s="1455">
        <v>1068</v>
      </c>
      <c r="C1318" s="1100">
        <v>0.9760709866481122</v>
      </c>
      <c r="D1318" s="1100">
        <v>1.0189687796749201</v>
      </c>
      <c r="E1318" s="1100">
        <v>1.0322878303041061</v>
      </c>
      <c r="F1318" s="1100">
        <v>1.0076611126296131</v>
      </c>
      <c r="G1318" s="1100">
        <v>1.0193229623921136</v>
      </c>
      <c r="H1318" s="1100">
        <v>0.98482578258265008</v>
      </c>
      <c r="I1318" s="1100">
        <v>1.0293696388245057</v>
      </c>
      <c r="K1318">
        <v>1.3299910649638977</v>
      </c>
      <c r="L1318">
        <v>0</v>
      </c>
      <c r="M1318">
        <v>5.627875319858662E-4</v>
      </c>
      <c r="N1318">
        <v>5.7043891023220987E-2</v>
      </c>
      <c r="O1318">
        <v>7.9007656816574325E-3</v>
      </c>
      <c r="P1318">
        <v>1.6781046284833002E-2</v>
      </c>
      <c r="Q1318">
        <v>4.7238907746155549E-4</v>
      </c>
      <c r="R1318">
        <v>5.6110125514301267E-4</v>
      </c>
      <c r="S1318">
        <v>6.278541065520285E-2</v>
      </c>
      <c r="T1318">
        <v>1.0393351540020042</v>
      </c>
      <c r="U1318">
        <v>0</v>
      </c>
      <c r="V1318">
        <v>9.9298430464065349E-2</v>
      </c>
      <c r="W1318">
        <v>3.6770582408469983E-2</v>
      </c>
      <c r="X1318">
        <v>8.0779489943049506E-3</v>
      </c>
      <c r="Y1318">
        <v>1.5271326495202334E-3</v>
      </c>
    </row>
    <row r="1319" spans="1:25" x14ac:dyDescent="0.25">
      <c r="A1319" s="1096"/>
      <c r="B1319" s="1455">
        <v>1069</v>
      </c>
      <c r="C1319" s="1100">
        <v>0.98278818352325714</v>
      </c>
      <c r="D1319" s="1100">
        <v>1.0155310319695388</v>
      </c>
      <c r="E1319" s="1100">
        <v>1.0022016745415003</v>
      </c>
      <c r="F1319" s="1100">
        <v>1.0245296606249694</v>
      </c>
      <c r="G1319" s="1100">
        <v>0.99164972619438307</v>
      </c>
      <c r="H1319" s="1100">
        <v>0.98663201692008962</v>
      </c>
      <c r="I1319" s="1100">
        <v>1.0239607614461816</v>
      </c>
      <c r="K1319">
        <v>1.3433045038955611</v>
      </c>
      <c r="L1319">
        <v>0</v>
      </c>
      <c r="M1319">
        <v>5.9693048734161917E-4</v>
      </c>
      <c r="N1319">
        <v>5.5254135123871367E-2</v>
      </c>
      <c r="O1319">
        <v>7.8498913367065753E-3</v>
      </c>
      <c r="P1319">
        <v>1.6634607484191662E-2</v>
      </c>
      <c r="Q1319">
        <v>4.5549606463029434E-4</v>
      </c>
      <c r="R1319">
        <v>5.951451825350506E-4</v>
      </c>
      <c r="S1319">
        <v>6.2168176541317878E-2</v>
      </c>
      <c r="T1319">
        <v>1.0576356321257445</v>
      </c>
      <c r="U1319">
        <v>0</v>
      </c>
      <c r="V1319">
        <v>9.7751832221071311E-2</v>
      </c>
      <c r="W1319">
        <v>3.6250784713269979E-2</v>
      </c>
      <c r="X1319">
        <v>7.6859445922600094E-3</v>
      </c>
      <c r="Y1319">
        <v>1.6197889973037123E-3</v>
      </c>
    </row>
    <row r="1320" spans="1:25" x14ac:dyDescent="0.25">
      <c r="A1320" s="1096"/>
      <c r="B1320" s="1455">
        <v>1070</v>
      </c>
      <c r="C1320" s="1100">
        <v>0.96970072359516268</v>
      </c>
      <c r="D1320" s="1100">
        <v>1.0438224281432273</v>
      </c>
      <c r="E1320" s="1100">
        <v>0.99907691943766375</v>
      </c>
      <c r="F1320" s="1100">
        <v>1.0361426092659145</v>
      </c>
      <c r="G1320" s="1100">
        <v>1.0289741574933906</v>
      </c>
      <c r="H1320" s="1100">
        <v>0.9852501346808582</v>
      </c>
      <c r="I1320" s="1100">
        <v>0.97890348211832767</v>
      </c>
      <c r="K1320">
        <v>1.3547178318972353</v>
      </c>
      <c r="L1320">
        <v>0</v>
      </c>
      <c r="M1320">
        <v>6.0142176447980855E-4</v>
      </c>
      <c r="N1320">
        <v>5.5146575455012205E-2</v>
      </c>
      <c r="O1320">
        <v>7.8680943687454395E-3</v>
      </c>
      <c r="P1320">
        <v>1.6750818293743953E-2</v>
      </c>
      <c r="Q1320">
        <v>4.5512106197373014E-4</v>
      </c>
      <c r="R1320">
        <v>5.9962050426818768E-4</v>
      </c>
      <c r="S1320">
        <v>5.9308539693297177E-2</v>
      </c>
      <c r="T1320">
        <v>1.0697201424112746</v>
      </c>
      <c r="U1320">
        <v>0</v>
      </c>
      <c r="V1320">
        <v>9.9894291595604659E-2</v>
      </c>
      <c r="W1320">
        <v>3.6247439428174405E-2</v>
      </c>
      <c r="X1320">
        <v>7.6966415018495408E-3</v>
      </c>
      <c r="Y1320">
        <v>1.6319693477718986E-3</v>
      </c>
    </row>
    <row r="1321" spans="1:25" x14ac:dyDescent="0.25">
      <c r="A1321" s="1096"/>
      <c r="B1321" s="1455">
        <v>1071</v>
      </c>
      <c r="C1321" s="1100">
        <v>0.98997508758161401</v>
      </c>
      <c r="D1321" s="1100">
        <v>0.98278835754635463</v>
      </c>
      <c r="E1321" s="1100">
        <v>1.0076723003194845</v>
      </c>
      <c r="F1321" s="1100">
        <v>0.99401576034078276</v>
      </c>
      <c r="G1321" s="1100">
        <v>0.99147351927577643</v>
      </c>
      <c r="H1321" s="1100">
        <v>0.96661598802852178</v>
      </c>
      <c r="I1321" s="1100">
        <v>1.0044718415914167</v>
      </c>
      <c r="K1321">
        <v>1.3088544965180882</v>
      </c>
      <c r="L1321">
        <v>0</v>
      </c>
      <c r="M1321">
        <v>5.8159335881337911E-4</v>
      </c>
      <c r="N1321">
        <v>5.472791165990587E-2</v>
      </c>
      <c r="O1321">
        <v>7.8971023619056353E-3</v>
      </c>
      <c r="P1321">
        <v>1.6249449589690185E-2</v>
      </c>
      <c r="Q1321">
        <v>4.6075537286377916E-4</v>
      </c>
      <c r="R1321">
        <v>5.7981790539325857E-4</v>
      </c>
      <c r="S1321">
        <v>6.0998622786974613E-2</v>
      </c>
      <c r="T1321">
        <v>1.0259746660162365</v>
      </c>
      <c r="U1321">
        <v>0</v>
      </c>
      <c r="V1321">
        <v>9.7566358278878135E-2</v>
      </c>
      <c r="W1321">
        <v>3.5789440537704123E-2</v>
      </c>
      <c r="X1321">
        <v>7.6138921657882509E-3</v>
      </c>
      <c r="Y1321">
        <v>1.5780732015593065E-3</v>
      </c>
    </row>
    <row r="1322" spans="1:25" x14ac:dyDescent="0.25">
      <c r="A1322" s="1096"/>
      <c r="B1322" s="1455">
        <v>1072</v>
      </c>
      <c r="C1322" s="1100">
        <v>0.97911460405388817</v>
      </c>
      <c r="D1322" s="1100">
        <v>0.98120547626749077</v>
      </c>
      <c r="E1322" s="1100">
        <v>1.0110365731123001</v>
      </c>
      <c r="F1322" s="1100">
        <v>0.98164347042992728</v>
      </c>
      <c r="G1322" s="1100">
        <v>0.9861009605410046</v>
      </c>
      <c r="H1322" s="1100">
        <v>0.99076630577248981</v>
      </c>
      <c r="I1322" s="1100">
        <v>0.99196959651919225</v>
      </c>
      <c r="K1322">
        <v>1.3003587345955467</v>
      </c>
      <c r="L1322">
        <v>0</v>
      </c>
      <c r="M1322">
        <v>5.9892485273996688E-4</v>
      </c>
      <c r="N1322">
        <v>5.6938419631241591E-2</v>
      </c>
      <c r="O1322">
        <v>7.9906991799550704E-3</v>
      </c>
      <c r="P1322">
        <v>1.6123182065336399E-2</v>
      </c>
      <c r="Q1322">
        <v>4.6778737923113125E-4</v>
      </c>
      <c r="R1322">
        <v>5.9714105781271158E-4</v>
      </c>
      <c r="S1322">
        <v>6.171679698937891E-2</v>
      </c>
      <c r="T1322">
        <v>1.0131072103632695</v>
      </c>
      <c r="U1322">
        <v>0</v>
      </c>
      <c r="V1322">
        <v>9.7587932836956812E-2</v>
      </c>
      <c r="W1322">
        <v>3.7161174894767363E-2</v>
      </c>
      <c r="X1322">
        <v>7.6420939384669907E-3</v>
      </c>
      <c r="Y1322">
        <v>1.6252211118693968E-3</v>
      </c>
    </row>
    <row r="1323" spans="1:25" x14ac:dyDescent="0.25">
      <c r="A1323" s="1096"/>
      <c r="B1323" s="1455">
        <v>1073</v>
      </c>
      <c r="C1323" s="1100">
        <v>1.0192962333594753</v>
      </c>
      <c r="D1323" s="1100">
        <v>1.0024985377248161</v>
      </c>
      <c r="E1323" s="1100">
        <v>1.0024253235195228</v>
      </c>
      <c r="F1323" s="1100">
        <v>0.97640338992407993</v>
      </c>
      <c r="G1323" s="1100">
        <v>0.984886165078107</v>
      </c>
      <c r="H1323" s="1100">
        <v>0.99279443983959315</v>
      </c>
      <c r="I1323" s="1100">
        <v>1.0110028788992327</v>
      </c>
      <c r="K1323">
        <v>1.2864210694578799</v>
      </c>
      <c r="L1323">
        <v>0</v>
      </c>
      <c r="M1323">
        <v>5.8187490937564956E-4</v>
      </c>
      <c r="N1323">
        <v>5.3897936892255367E-2</v>
      </c>
      <c r="O1323">
        <v>7.6079912570318972E-3</v>
      </c>
      <c r="P1323">
        <v>1.5909016719051348E-2</v>
      </c>
      <c r="Q1323">
        <v>4.4155875144095546E-4</v>
      </c>
      <c r="R1323">
        <v>5.8014543507551133E-4</v>
      </c>
      <c r="S1323">
        <v>5.9781564770250914E-2</v>
      </c>
      <c r="T1323">
        <v>1.0079477562515271</v>
      </c>
      <c r="U1323">
        <v>0</v>
      </c>
      <c r="V1323">
        <v>9.6521650070980861E-2</v>
      </c>
      <c r="W1323">
        <v>3.5356327259008315E-2</v>
      </c>
      <c r="X1323">
        <v>7.3800323312472535E-3</v>
      </c>
      <c r="Y1323">
        <v>1.5789646293842676E-3</v>
      </c>
    </row>
    <row r="1324" spans="1:25" x14ac:dyDescent="0.25">
      <c r="A1324" s="1096"/>
      <c r="B1324" s="1455">
        <v>1074</v>
      </c>
      <c r="C1324" s="1100">
        <v>0.97170531010347239</v>
      </c>
      <c r="D1324" s="1100">
        <v>1.0047069574734147</v>
      </c>
      <c r="E1324" s="1100">
        <v>0.98909128408643787</v>
      </c>
      <c r="F1324" s="1100">
        <v>1.0122007351731532</v>
      </c>
      <c r="G1324" s="1100">
        <v>0.99207454473352963</v>
      </c>
      <c r="H1324" s="1100">
        <v>0.98353864046756978</v>
      </c>
      <c r="I1324" s="1100">
        <v>1.0279945943221194</v>
      </c>
      <c r="K1324">
        <v>1.3324202368040887</v>
      </c>
      <c r="L1324">
        <v>0</v>
      </c>
      <c r="M1324">
        <v>6.2108273070472927E-4</v>
      </c>
      <c r="N1324">
        <v>5.5255914544939277E-2</v>
      </c>
      <c r="O1324">
        <v>7.9702242683899818E-3</v>
      </c>
      <c r="P1324">
        <v>1.6325577427920866E-2</v>
      </c>
      <c r="Q1324">
        <v>4.5640924484236872E-4</v>
      </c>
      <c r="R1324">
        <v>6.192193489218587E-4</v>
      </c>
      <c r="S1324">
        <v>6.3376077964670124E-2</v>
      </c>
      <c r="T1324">
        <v>1.045305034452005</v>
      </c>
      <c r="U1324">
        <v>0</v>
      </c>
      <c r="V1324">
        <v>9.8045284908275465E-2</v>
      </c>
      <c r="W1324">
        <v>3.6536516540503966E-2</v>
      </c>
      <c r="X1324">
        <v>7.4657498921639988E-3</v>
      </c>
      <c r="Y1324">
        <v>1.6853109421617871E-3</v>
      </c>
    </row>
    <row r="1325" spans="1:25" x14ac:dyDescent="0.25">
      <c r="A1325" s="1096"/>
      <c r="B1325" s="1455">
        <v>1075</v>
      </c>
      <c r="C1325" s="1100">
        <v>0.99929796097217727</v>
      </c>
      <c r="D1325" s="1100">
        <v>1.0409268373738321</v>
      </c>
      <c r="E1325" s="1100">
        <v>1.0045256571006629</v>
      </c>
      <c r="F1325" s="1100">
        <v>0.97381139183355314</v>
      </c>
      <c r="G1325" s="1100">
        <v>0.98840056590617886</v>
      </c>
      <c r="H1325" s="1100">
        <v>1.0291432360102706</v>
      </c>
      <c r="I1325" s="1100">
        <v>0.98800690182689499</v>
      </c>
      <c r="K1325">
        <v>1.2880383141543073</v>
      </c>
      <c r="L1325">
        <v>0</v>
      </c>
      <c r="M1325">
        <v>6.0342573625276827E-4</v>
      </c>
      <c r="N1325">
        <v>5.6255786809552732E-2</v>
      </c>
      <c r="O1325">
        <v>7.6448628733003206E-3</v>
      </c>
      <c r="P1325">
        <v>1.5901374402386391E-2</v>
      </c>
      <c r="Q1325">
        <v>4.4463466457351581E-4</v>
      </c>
      <c r="R1325">
        <v>6.0169555411800318E-4</v>
      </c>
      <c r="S1325">
        <v>5.9482982203492109E-2</v>
      </c>
      <c r="T1325">
        <v>1.0052113515820651</v>
      </c>
      <c r="U1325">
        <v>0</v>
      </c>
      <c r="V1325">
        <v>9.718060148038056E-2</v>
      </c>
      <c r="W1325">
        <v>3.6857133168197623E-2</v>
      </c>
      <c r="X1325">
        <v>7.4237002030704937E-3</v>
      </c>
      <c r="Y1325">
        <v>1.6376169494230967E-3</v>
      </c>
    </row>
    <row r="1326" spans="1:25" x14ac:dyDescent="0.25">
      <c r="A1326" s="1096"/>
      <c r="B1326" s="1455">
        <v>1076</v>
      </c>
      <c r="C1326" s="1100">
        <v>1.0042406544856834</v>
      </c>
      <c r="D1326" s="1100">
        <v>0.98904553105063431</v>
      </c>
      <c r="E1326" s="1100">
        <v>1.0041082507376693</v>
      </c>
      <c r="F1326" s="1100">
        <v>1.0442079701028053</v>
      </c>
      <c r="G1326" s="1100">
        <v>0.96038578158090548</v>
      </c>
      <c r="H1326" s="1100">
        <v>0.9788846819116187</v>
      </c>
      <c r="I1326" s="1100">
        <v>1.0136937804784583</v>
      </c>
      <c r="K1326">
        <v>1.3588141543290739</v>
      </c>
      <c r="L1326">
        <v>0</v>
      </c>
      <c r="M1326">
        <v>5.8343782836503414E-4</v>
      </c>
      <c r="N1326">
        <v>5.4315818918218094E-2</v>
      </c>
      <c r="O1326">
        <v>7.7643076341576463E-3</v>
      </c>
      <c r="P1326">
        <v>1.6889276764468296E-2</v>
      </c>
      <c r="Q1326">
        <v>4.5139274147121386E-4</v>
      </c>
      <c r="R1326">
        <v>5.8167906719006686E-4</v>
      </c>
      <c r="S1326">
        <v>6.0853284219972527E-2</v>
      </c>
      <c r="T1326">
        <v>1.0778907423217439</v>
      </c>
      <c r="U1326">
        <v>0</v>
      </c>
      <c r="V1326">
        <v>9.5702760954262625E-2</v>
      </c>
      <c r="W1326">
        <v>3.5594922786365508E-2</v>
      </c>
      <c r="X1326">
        <v>7.7702680791498094E-3</v>
      </c>
      <c r="Y1326">
        <v>1.5831386704383968E-3</v>
      </c>
    </row>
    <row r="1327" spans="1:25" x14ac:dyDescent="0.25">
      <c r="A1327" s="1096"/>
      <c r="B1327" s="1455">
        <v>1077</v>
      </c>
      <c r="C1327" s="1100">
        <v>0.96858591788979509</v>
      </c>
      <c r="D1327" s="1100">
        <v>1.0063828650493019</v>
      </c>
      <c r="E1327" s="1100">
        <v>1.0019422659969268</v>
      </c>
      <c r="F1327" s="1100">
        <v>0.96263098608149034</v>
      </c>
      <c r="G1327" s="1100">
        <v>1.0313080267274606</v>
      </c>
      <c r="H1327" s="1100">
        <v>1.0417309584265262</v>
      </c>
      <c r="I1327" s="1100">
        <v>1.0076580721279447</v>
      </c>
      <c r="K1327">
        <v>1.2897649074973625</v>
      </c>
      <c r="L1327">
        <v>0</v>
      </c>
      <c r="M1327">
        <v>6.4217242662854552E-4</v>
      </c>
      <c r="N1327">
        <v>5.9404762357353327E-2</v>
      </c>
      <c r="O1327">
        <v>7.9938103893175769E-3</v>
      </c>
      <c r="P1327">
        <v>1.581671262594397E-2</v>
      </c>
      <c r="Q1327">
        <v>4.6372628508273267E-4</v>
      </c>
      <c r="R1327">
        <v>6.4035339646128489E-4</v>
      </c>
      <c r="S1327">
        <v>6.4123457806561451E-2</v>
      </c>
      <c r="T1327">
        <v>0.99374422226127979</v>
      </c>
      <c r="U1327">
        <v>0</v>
      </c>
      <c r="V1327">
        <v>0.10003987512295319</v>
      </c>
      <c r="W1327">
        <v>3.8979901637499537E-2</v>
      </c>
      <c r="X1327">
        <v>7.4574271888110397E-3</v>
      </c>
      <c r="Y1327">
        <v>1.7428308527272065E-3</v>
      </c>
    </row>
    <row r="1328" spans="1:25" x14ac:dyDescent="0.25">
      <c r="A1328" s="1096"/>
      <c r="B1328" s="1455">
        <v>1078</v>
      </c>
      <c r="C1328" s="1100">
        <v>1.0200347040399673</v>
      </c>
      <c r="D1328" s="1100">
        <v>1.0272844633458769</v>
      </c>
      <c r="E1328" s="1100">
        <v>0.99160312427614827</v>
      </c>
      <c r="F1328" s="1100">
        <v>0.99934570354452412</v>
      </c>
      <c r="G1328" s="1100">
        <v>0.99964039858412757</v>
      </c>
      <c r="H1328" s="1100">
        <v>0.9963922732406606</v>
      </c>
      <c r="I1328" s="1100">
        <v>0.97993179319611223</v>
      </c>
      <c r="K1328">
        <v>1.3073165966085636</v>
      </c>
      <c r="L1328">
        <v>0</v>
      </c>
      <c r="M1328">
        <v>5.9100081152107002E-4</v>
      </c>
      <c r="N1328">
        <v>5.2982490683830978E-2</v>
      </c>
      <c r="O1328">
        <v>7.5259980818587818E-3</v>
      </c>
      <c r="P1328">
        <v>1.6080962138919536E-2</v>
      </c>
      <c r="Q1328">
        <v>4.3206631015472004E-4</v>
      </c>
      <c r="R1328">
        <v>5.8925055564430925E-4</v>
      </c>
      <c r="S1328">
        <v>5.7243151142372675E-2</v>
      </c>
      <c r="T1328">
        <v>1.0319541362629669</v>
      </c>
      <c r="U1328">
        <v>0</v>
      </c>
      <c r="V1328">
        <v>9.7205846736888105E-2</v>
      </c>
      <c r="W1328">
        <v>3.4980612895022127E-2</v>
      </c>
      <c r="X1328">
        <v>7.3093368463562052E-3</v>
      </c>
      <c r="Y1328">
        <v>1.6037457660703462E-3</v>
      </c>
    </row>
    <row r="1329" spans="1:25" x14ac:dyDescent="0.25">
      <c r="A1329" s="1096"/>
      <c r="B1329" s="1455">
        <v>1079</v>
      </c>
      <c r="C1329" s="1100">
        <v>1.0093346133255441</v>
      </c>
      <c r="D1329" s="1100">
        <v>1.0204512182355516</v>
      </c>
      <c r="E1329" s="1100">
        <v>0.97717994505215922</v>
      </c>
      <c r="F1329" s="1100">
        <v>1.0266423532588844</v>
      </c>
      <c r="G1329" s="1100">
        <v>0.99963856700291887</v>
      </c>
      <c r="H1329" s="1100">
        <v>0.99599552740173047</v>
      </c>
      <c r="I1329" s="1100">
        <v>1.0030220805802696</v>
      </c>
      <c r="K1329">
        <v>1.3389338937625264</v>
      </c>
      <c r="L1329">
        <v>0</v>
      </c>
      <c r="M1329">
        <v>6.1675933971941431E-4</v>
      </c>
      <c r="N1329">
        <v>5.2931375368288992E-2</v>
      </c>
      <c r="O1329">
        <v>7.6226428373955555E-3</v>
      </c>
      <c r="P1329">
        <v>1.63224720905649E-2</v>
      </c>
      <c r="Q1329">
        <v>4.3126156450479236E-4</v>
      </c>
      <c r="R1329">
        <v>6.1493207207169301E-4</v>
      </c>
      <c r="S1329">
        <v>5.9399556650468317E-2</v>
      </c>
      <c r="T1329">
        <v>1.060589118228368</v>
      </c>
      <c r="U1329">
        <v>0</v>
      </c>
      <c r="V1329">
        <v>9.7447352579535268E-2</v>
      </c>
      <c r="W1329">
        <v>3.5251484025623461E-2</v>
      </c>
      <c r="X1329">
        <v>7.2668152975470255E-3</v>
      </c>
      <c r="Y1329">
        <v>1.6736423878760699E-3</v>
      </c>
    </row>
    <row r="1330" spans="1:25" x14ac:dyDescent="0.25">
      <c r="A1330" s="1096"/>
      <c r="B1330" s="1455">
        <v>1080</v>
      </c>
      <c r="C1330" s="1100">
        <v>1.0030773948142391</v>
      </c>
      <c r="D1330" s="1100">
        <v>1.011871092297943</v>
      </c>
      <c r="E1330" s="1100">
        <v>0.99889365286271559</v>
      </c>
      <c r="F1330" s="1100">
        <v>1.0045406121597651</v>
      </c>
      <c r="G1330" s="1100">
        <v>0.99489709732309961</v>
      </c>
      <c r="H1330" s="1100">
        <v>0.97455516715989776</v>
      </c>
      <c r="I1330" s="1100">
        <v>1.0008328138562708</v>
      </c>
      <c r="K1330">
        <v>1.3157278686369347</v>
      </c>
      <c r="L1330">
        <v>0</v>
      </c>
      <c r="M1330">
        <v>5.8251617342882343E-4</v>
      </c>
      <c r="N1330">
        <v>5.3381724179159325E-2</v>
      </c>
      <c r="O1330">
        <v>7.7014215127292653E-3</v>
      </c>
      <c r="P1330">
        <v>1.6269534266952275E-2</v>
      </c>
      <c r="Q1330">
        <v>4.4539795525054435E-4</v>
      </c>
      <c r="R1330">
        <v>5.8075238951331833E-4</v>
      </c>
      <c r="S1330">
        <v>5.9281053147138024E-2</v>
      </c>
      <c r="T1330">
        <v>1.037099527248732</v>
      </c>
      <c r="U1330">
        <v>0</v>
      </c>
      <c r="V1330">
        <v>9.7395169592770628E-2</v>
      </c>
      <c r="W1330">
        <v>3.5091240753371201E-2</v>
      </c>
      <c r="X1330">
        <v>7.4839472054651418E-3</v>
      </c>
      <c r="Y1330">
        <v>1.5806165592815015E-3</v>
      </c>
    </row>
    <row r="1331" spans="1:25" x14ac:dyDescent="0.25">
      <c r="A1331" s="1096"/>
      <c r="B1331" s="1455">
        <v>1081</v>
      </c>
      <c r="C1331" s="1100">
        <v>1.0228017958851092</v>
      </c>
      <c r="D1331" s="1100">
        <v>0.97039636265281737</v>
      </c>
      <c r="E1331" s="1100">
        <v>1.0301080920774064</v>
      </c>
      <c r="F1331" s="1100">
        <v>1.033275840026292</v>
      </c>
      <c r="G1331" s="1100">
        <v>0.99297672667968395</v>
      </c>
      <c r="H1331" s="1100">
        <v>1.0126063432481438</v>
      </c>
      <c r="I1331" s="1100">
        <v>0.96978248708710491</v>
      </c>
      <c r="K1331">
        <v>1.349990483966089</v>
      </c>
      <c r="L1331">
        <v>0</v>
      </c>
      <c r="M1331">
        <v>5.6568318285027982E-4</v>
      </c>
      <c r="N1331">
        <v>5.6966594526261558E-2</v>
      </c>
      <c r="O1331">
        <v>7.6880064974226871E-3</v>
      </c>
      <c r="P1331">
        <v>1.7033701035147033E-2</v>
      </c>
      <c r="Q1331">
        <v>4.5867923159611986E-4</v>
      </c>
      <c r="R1331">
        <v>5.6403473033102562E-4</v>
      </c>
      <c r="S1331">
        <v>5.8762482735450532E-2</v>
      </c>
      <c r="T1331">
        <v>1.0658199903536021</v>
      </c>
      <c r="U1331">
        <v>0</v>
      </c>
      <c r="V1331">
        <v>9.6860496614659161E-2</v>
      </c>
      <c r="W1331">
        <v>3.6767204896284031E-2</v>
      </c>
      <c r="X1331">
        <v>8.0998599262215275E-3</v>
      </c>
      <c r="Y1331">
        <v>1.5351166019621693E-3</v>
      </c>
    </row>
    <row r="1332" spans="1:25" x14ac:dyDescent="0.25">
      <c r="A1332" s="1096"/>
      <c r="B1332" s="1455">
        <v>1082</v>
      </c>
      <c r="C1332" s="1100">
        <v>0.99182202908716255</v>
      </c>
      <c r="D1332" s="1100">
        <v>0.98158034439788355</v>
      </c>
      <c r="E1332" s="1100">
        <v>0.99678735987894385</v>
      </c>
      <c r="F1332" s="1100">
        <v>1.0150621821290926</v>
      </c>
      <c r="G1332" s="1100">
        <v>0.95474096793366581</v>
      </c>
      <c r="H1332" s="1100">
        <v>1.0004268640148357</v>
      </c>
      <c r="I1332" s="1100">
        <v>1.0130521513124069</v>
      </c>
      <c r="K1332">
        <v>1.3330809752038055</v>
      </c>
      <c r="L1332">
        <v>0</v>
      </c>
      <c r="M1332">
        <v>6.1484291088293775E-4</v>
      </c>
      <c r="N1332">
        <v>5.5991072693376755E-2</v>
      </c>
      <c r="O1332">
        <v>7.8835604065569751E-3</v>
      </c>
      <c r="P1332">
        <v>1.641373337051686E-2</v>
      </c>
      <c r="Q1332">
        <v>4.5496620222864101E-4</v>
      </c>
      <c r="R1332">
        <v>6.1302938965625579E-4</v>
      </c>
      <c r="S1332">
        <v>6.2497404568376741E-2</v>
      </c>
      <c r="T1332">
        <v>1.0480258956032997</v>
      </c>
      <c r="U1332">
        <v>0</v>
      </c>
      <c r="V1332">
        <v>9.5730603645577991E-2</v>
      </c>
      <c r="W1332">
        <v>3.6852717778081946E-2</v>
      </c>
      <c r="X1332">
        <v>7.5643705434555149E-3</v>
      </c>
      <c r="Y1332">
        <v>1.66846391356034E-3</v>
      </c>
    </row>
    <row r="1333" spans="1:25" x14ac:dyDescent="0.25">
      <c r="A1333" s="1096"/>
      <c r="B1333" s="1455">
        <v>1083</v>
      </c>
      <c r="C1333" s="1100">
        <v>1.0122191771449693</v>
      </c>
      <c r="D1333" s="1100">
        <v>0.98278241864276872</v>
      </c>
      <c r="E1333" s="1100">
        <v>0.99174364135001036</v>
      </c>
      <c r="F1333" s="1100">
        <v>1.0294793908501356</v>
      </c>
      <c r="G1333" s="1100">
        <v>1.024039004457584</v>
      </c>
      <c r="H1333" s="1100">
        <v>0.96262199237663604</v>
      </c>
      <c r="I1333" s="1100">
        <v>0.99008815856721477</v>
      </c>
      <c r="K1333">
        <v>1.3412750260044699</v>
      </c>
      <c r="L1333">
        <v>0</v>
      </c>
      <c r="M1333">
        <v>5.854917867190322E-4</v>
      </c>
      <c r="N1333">
        <v>5.2505443123816532E-2</v>
      </c>
      <c r="O1333">
        <v>7.719688111468264E-3</v>
      </c>
      <c r="P1333">
        <v>1.6542275269121127E-2</v>
      </c>
      <c r="Q1333">
        <v>4.432489145230327E-4</v>
      </c>
      <c r="R1333">
        <v>5.8369701653536725E-4</v>
      </c>
      <c r="S1333">
        <v>5.8668843053773991E-2</v>
      </c>
      <c r="T1333">
        <v>1.0630667374874039</v>
      </c>
      <c r="U1333">
        <v>0</v>
      </c>
      <c r="V1333">
        <v>9.8573835755923656E-2</v>
      </c>
      <c r="W1333">
        <v>3.4662737824276819E-2</v>
      </c>
      <c r="X1333">
        <v>7.5053803710058509E-3</v>
      </c>
      <c r="Y1333">
        <v>1.5886308633394814E-3</v>
      </c>
    </row>
    <row r="1334" spans="1:25" x14ac:dyDescent="0.25">
      <c r="A1334" s="1096"/>
      <c r="B1334" s="1455">
        <v>1084</v>
      </c>
      <c r="C1334" s="1100">
        <v>0.98598554449266451</v>
      </c>
      <c r="D1334" s="1100">
        <v>0.98379111478495485</v>
      </c>
      <c r="E1334" s="1100">
        <v>0.98399005300071285</v>
      </c>
      <c r="F1334" s="1100">
        <v>1.0390144027561024</v>
      </c>
      <c r="G1334" s="1100">
        <v>0.98239260959082797</v>
      </c>
      <c r="H1334" s="1100">
        <v>1.0149493747761094</v>
      </c>
      <c r="I1334" s="1100">
        <v>0.99136835718645289</v>
      </c>
      <c r="K1334">
        <v>1.3602755022137787</v>
      </c>
      <c r="L1334">
        <v>0</v>
      </c>
      <c r="M1334">
        <v>6.4373459963673629E-4</v>
      </c>
      <c r="N1334">
        <v>5.6399685151145816E-2</v>
      </c>
      <c r="O1334">
        <v>7.919891501331917E-3</v>
      </c>
      <c r="P1334">
        <v>1.6606617229527457E-2</v>
      </c>
      <c r="Q1334">
        <v>4.5119006687116997E-4</v>
      </c>
      <c r="R1334">
        <v>6.4186302870937039E-4</v>
      </c>
      <c r="S1334">
        <v>6.1883475072117583E-2</v>
      </c>
      <c r="T1334">
        <v>1.0731555427090822</v>
      </c>
      <c r="U1334">
        <v>0</v>
      </c>
      <c r="V1334">
        <v>9.72019525133372E-2</v>
      </c>
      <c r="W1334">
        <v>3.7407257333742949E-2</v>
      </c>
      <c r="X1334">
        <v>7.5048226334925227E-3</v>
      </c>
      <c r="Y1334">
        <v>1.7469395740563585E-3</v>
      </c>
    </row>
    <row r="1335" spans="1:25" x14ac:dyDescent="0.25">
      <c r="A1335" s="1096"/>
      <c r="B1335" s="1455">
        <v>1085</v>
      </c>
      <c r="C1335" s="1100">
        <v>0.96771726074407138</v>
      </c>
      <c r="D1335" s="1100">
        <v>0.98194791718276209</v>
      </c>
      <c r="E1335" s="1100">
        <v>1.0389637689298714</v>
      </c>
      <c r="F1335" s="1100">
        <v>1.0144583288723323</v>
      </c>
      <c r="G1335" s="1100">
        <v>1.0027013585998321</v>
      </c>
      <c r="H1335" s="1100">
        <v>1.0109343145828964</v>
      </c>
      <c r="I1335" s="1100">
        <v>0.98103743471648786</v>
      </c>
      <c r="K1335">
        <v>1.3416997712302494</v>
      </c>
      <c r="L1335">
        <v>0</v>
      </c>
      <c r="M1335">
        <v>5.8320776740688844E-4</v>
      </c>
      <c r="N1335">
        <v>6.0319578702483861E-2</v>
      </c>
      <c r="O1335">
        <v>8.0895273030495204E-3</v>
      </c>
      <c r="P1335">
        <v>1.6944197730232684E-2</v>
      </c>
      <c r="Q1335">
        <v>4.8686833197297488E-4</v>
      </c>
      <c r="R1335">
        <v>5.8150543573380598E-4</v>
      </c>
      <c r="S1335">
        <v>6.2387569606368994E-2</v>
      </c>
      <c r="T1335">
        <v>1.0461515951424225</v>
      </c>
      <c r="U1335">
        <v>0</v>
      </c>
      <c r="V1335">
        <v>9.8721099545751881E-2</v>
      </c>
      <c r="W1335">
        <v>3.8732371282502585E-2</v>
      </c>
      <c r="X1335">
        <v>8.2859998142853324E-3</v>
      </c>
      <c r="Y1335">
        <v>1.5826661028520491E-3</v>
      </c>
    </row>
    <row r="1336" spans="1:25" x14ac:dyDescent="0.25">
      <c r="A1336" s="1096"/>
      <c r="B1336" s="1455">
        <v>1086</v>
      </c>
      <c r="C1336" s="1100">
        <v>1.0086638924693656</v>
      </c>
      <c r="D1336" s="1100">
        <v>1.0124733433371556</v>
      </c>
      <c r="E1336" s="1100">
        <v>0.99159716972863254</v>
      </c>
      <c r="F1336" s="1100">
        <v>0.99081021262942548</v>
      </c>
      <c r="G1336" s="1100">
        <v>1.0054319624303583</v>
      </c>
      <c r="H1336" s="1100">
        <v>1.0402910731751682</v>
      </c>
      <c r="I1336" s="1100">
        <v>0.95929107227222343</v>
      </c>
      <c r="K1336">
        <v>1.3058058102252208</v>
      </c>
      <c r="L1336">
        <v>0</v>
      </c>
      <c r="M1336">
        <v>6.2763806851725819E-4</v>
      </c>
      <c r="N1336">
        <v>5.6273015066294355E-2</v>
      </c>
      <c r="O1336">
        <v>7.655178885182432E-3</v>
      </c>
      <c r="P1336">
        <v>1.59843682735719E-2</v>
      </c>
      <c r="Q1336">
        <v>4.394799160571938E-4</v>
      </c>
      <c r="R1336">
        <v>6.2585774788962605E-4</v>
      </c>
      <c r="S1336">
        <v>5.8380350236722382E-2</v>
      </c>
      <c r="T1336">
        <v>1.0231403112251407</v>
      </c>
      <c r="U1336">
        <v>0</v>
      </c>
      <c r="V1336">
        <v>9.7759858996616281E-2</v>
      </c>
      <c r="W1336">
        <v>3.7153247119483271E-2</v>
      </c>
      <c r="X1336">
        <v>7.3184023509745956E-3</v>
      </c>
      <c r="Y1336">
        <v>1.7033784758044184E-3</v>
      </c>
    </row>
    <row r="1337" spans="1:25" x14ac:dyDescent="0.25">
      <c r="A1337" s="1096"/>
      <c r="B1337" s="1455">
        <v>1087</v>
      </c>
      <c r="C1337" s="1100">
        <v>1.0154485565967644</v>
      </c>
      <c r="D1337" s="1100">
        <v>1.0047125902418232</v>
      </c>
      <c r="E1337" s="1100">
        <v>1.0003183978605192</v>
      </c>
      <c r="F1337" s="1100">
        <v>1.0091822947604108</v>
      </c>
      <c r="G1337" s="1100">
        <v>1.0141303122081604</v>
      </c>
      <c r="H1337" s="1100">
        <v>1.047787099685755</v>
      </c>
      <c r="I1337" s="1100">
        <v>1.0158060119095156</v>
      </c>
      <c r="K1337">
        <v>1.3298137958426914</v>
      </c>
      <c r="L1337">
        <v>0</v>
      </c>
      <c r="M1337">
        <v>6.1858736358085073E-4</v>
      </c>
      <c r="N1337">
        <v>5.6943910427920637E-2</v>
      </c>
      <c r="O1337">
        <v>7.6295744599642282E-3</v>
      </c>
      <c r="P1337">
        <v>1.639594672461191E-2</v>
      </c>
      <c r="Q1337">
        <v>4.4187531447839167E-4</v>
      </c>
      <c r="R1337">
        <v>6.1684526865710425E-4</v>
      </c>
      <c r="S1337">
        <v>6.1896433679412131E-2</v>
      </c>
      <c r="T1337">
        <v>1.0418488409430275</v>
      </c>
      <c r="U1337">
        <v>0</v>
      </c>
      <c r="V1337">
        <v>9.8026195847932165E-2</v>
      </c>
      <c r="W1337">
        <v>3.7401200636775878E-2</v>
      </c>
      <c r="X1337">
        <v>7.5527104251958662E-3</v>
      </c>
      <c r="Y1337">
        <v>1.678849478296475E-3</v>
      </c>
    </row>
    <row r="1338" spans="1:25" x14ac:dyDescent="0.25">
      <c r="A1338" s="1096"/>
      <c r="B1338" s="1455">
        <v>1088</v>
      </c>
      <c r="C1338" s="1100">
        <v>0.97288185802691185</v>
      </c>
      <c r="D1338" s="1100">
        <v>0.97865420940080661</v>
      </c>
      <c r="E1338" s="1100">
        <v>1.0088664862394143</v>
      </c>
      <c r="F1338" s="1100">
        <v>0.99867407766184013</v>
      </c>
      <c r="G1338" s="1100">
        <v>0.99884567452223227</v>
      </c>
      <c r="H1338" s="1100">
        <v>0.97453894608751224</v>
      </c>
      <c r="I1338" s="1100">
        <v>1.038683591652191</v>
      </c>
      <c r="K1338">
        <v>1.3210477577833144</v>
      </c>
      <c r="L1338">
        <v>0</v>
      </c>
      <c r="M1338">
        <v>5.961889900898777E-4</v>
      </c>
      <c r="N1338">
        <v>5.6305411604913862E-2</v>
      </c>
      <c r="O1338">
        <v>8.0497175262751672E-3</v>
      </c>
      <c r="P1338">
        <v>1.6389680343807188E-2</v>
      </c>
      <c r="Q1338">
        <v>4.7022121381341472E-4</v>
      </c>
      <c r="R1338">
        <v>5.9438377660023494E-4</v>
      </c>
      <c r="S1338">
        <v>6.4592306153182982E-2</v>
      </c>
      <c r="T1338">
        <v>1.0307475499104592</v>
      </c>
      <c r="U1338">
        <v>0</v>
      </c>
      <c r="V1338">
        <v>9.8364259577477089E-2</v>
      </c>
      <c r="W1338">
        <v>3.6795095175236707E-2</v>
      </c>
      <c r="X1338">
        <v>7.7176047902888902E-3</v>
      </c>
      <c r="Y1338">
        <v>1.6177167013465429E-3</v>
      </c>
    </row>
    <row r="1339" spans="1:25" x14ac:dyDescent="0.25">
      <c r="A1339" s="1096"/>
      <c r="B1339" s="1455">
        <v>1089</v>
      </c>
      <c r="C1339" s="1100">
        <v>0.98210475190226509</v>
      </c>
      <c r="D1339" s="1100">
        <v>1.0364621965844329</v>
      </c>
      <c r="E1339" s="1100">
        <v>0.97582074992047751</v>
      </c>
      <c r="F1339" s="1100">
        <v>1.0000269847436118</v>
      </c>
      <c r="G1339" s="1100">
        <v>0.9704434232756538</v>
      </c>
      <c r="H1339" s="1100">
        <v>0.99472832294739955</v>
      </c>
      <c r="I1339" s="1100">
        <v>0.95598945232072641</v>
      </c>
      <c r="K1339">
        <v>1.3103559020355093</v>
      </c>
      <c r="L1339">
        <v>0</v>
      </c>
      <c r="M1339">
        <v>6.3089285513448284E-4</v>
      </c>
      <c r="N1339">
        <v>5.392186805933169E-2</v>
      </c>
      <c r="O1339">
        <v>7.7850216960809304E-3</v>
      </c>
      <c r="P1339">
        <v>1.5904795382917968E-2</v>
      </c>
      <c r="Q1339">
        <v>4.3983913624062141E-4</v>
      </c>
      <c r="R1339">
        <v>6.2902133310465715E-4</v>
      </c>
      <c r="S1339">
        <v>5.766224717266806E-2</v>
      </c>
      <c r="T1339">
        <v>1.033135103532983</v>
      </c>
      <c r="U1339">
        <v>0</v>
      </c>
      <c r="V1339">
        <v>9.6714220459063638E-2</v>
      </c>
      <c r="W1339">
        <v>3.5940703793094907E-2</v>
      </c>
      <c r="X1339">
        <v>7.1419856132741572E-3</v>
      </c>
      <c r="Y1339">
        <v>1.7119887118841473E-3</v>
      </c>
    </row>
    <row r="1340" spans="1:25" x14ac:dyDescent="0.25">
      <c r="A1340" s="1096"/>
      <c r="B1340" s="1455">
        <v>1090</v>
      </c>
      <c r="C1340" s="1100">
        <v>0.9872289813204923</v>
      </c>
      <c r="D1340" s="1100">
        <v>1.0029006365905455</v>
      </c>
      <c r="E1340" s="1100">
        <v>0.98778298256283392</v>
      </c>
      <c r="F1340" s="1100">
        <v>0.95795293352218869</v>
      </c>
      <c r="G1340" s="1100">
        <v>1.006947960352413</v>
      </c>
      <c r="H1340" s="1100">
        <v>0.98041259654915025</v>
      </c>
      <c r="I1340" s="1100">
        <v>0.96000064419026587</v>
      </c>
      <c r="K1340">
        <v>1.2685181463235751</v>
      </c>
      <c r="L1340">
        <v>0</v>
      </c>
      <c r="M1340">
        <v>6.1146648241105529E-4</v>
      </c>
      <c r="N1340">
        <v>5.4185081227954998E-2</v>
      </c>
      <c r="O1340">
        <v>7.850220944456289E-3</v>
      </c>
      <c r="P1340">
        <v>1.5487396612022803E-2</v>
      </c>
      <c r="Q1340">
        <v>4.4894275525281783E-4</v>
      </c>
      <c r="R1340">
        <v>6.096261020425394E-4</v>
      </c>
      <c r="S1340">
        <v>5.8216028708270758E-2</v>
      </c>
      <c r="T1340">
        <v>0.98932078062603113</v>
      </c>
      <c r="U1340">
        <v>0</v>
      </c>
      <c r="V1340">
        <v>9.8362324653572628E-2</v>
      </c>
      <c r="W1340">
        <v>3.58565826559245E-2</v>
      </c>
      <c r="X1340">
        <v>7.1334272338878409E-3</v>
      </c>
      <c r="Y1340">
        <v>1.6592012865692637E-3</v>
      </c>
    </row>
    <row r="1341" spans="1:25" x14ac:dyDescent="0.25">
      <c r="A1341" s="1096"/>
      <c r="B1341" s="1455">
        <v>1091</v>
      </c>
      <c r="C1341" s="1100">
        <v>1.0196121082288154</v>
      </c>
      <c r="D1341" s="1100">
        <v>0.9830033869046475</v>
      </c>
      <c r="E1341" s="1100">
        <v>0.97605078540384493</v>
      </c>
      <c r="F1341" s="1100">
        <v>1.0045974822828798</v>
      </c>
      <c r="G1341" s="1100">
        <v>0.96375458486581844</v>
      </c>
      <c r="H1341" s="1100">
        <v>1.0048535495616853</v>
      </c>
      <c r="I1341" s="1100">
        <v>1.0062576327694071</v>
      </c>
      <c r="K1341">
        <v>1.3160253972883771</v>
      </c>
      <c r="L1341">
        <v>0</v>
      </c>
      <c r="M1341">
        <v>6.267143824670912E-4</v>
      </c>
      <c r="N1341">
        <v>5.360365027732316E-2</v>
      </c>
      <c r="O1341">
        <v>7.6592313175373817E-3</v>
      </c>
      <c r="P1341">
        <v>1.5991379256860172E-2</v>
      </c>
      <c r="Q1341">
        <v>4.3283363273581603E-4</v>
      </c>
      <c r="R1341">
        <v>6.2487398889038762E-4</v>
      </c>
      <c r="S1341">
        <v>6.0453446493479703E-2</v>
      </c>
      <c r="T1341">
        <v>1.0378498727810599</v>
      </c>
      <c r="U1341">
        <v>0</v>
      </c>
      <c r="V1341">
        <v>9.5463024726941917E-2</v>
      </c>
      <c r="W1341">
        <v>3.572362274044321E-2</v>
      </c>
      <c r="X1341">
        <v>7.1494754474678368E-3</v>
      </c>
      <c r="Y1341">
        <v>1.7007010081045585E-3</v>
      </c>
    </row>
    <row r="1342" spans="1:25" x14ac:dyDescent="0.25">
      <c r="A1342" s="1096"/>
      <c r="B1342" s="1455">
        <v>1092</v>
      </c>
      <c r="C1342" s="1100">
        <v>1.0026431153022071</v>
      </c>
      <c r="D1342" s="1100">
        <v>0.98605743599506612</v>
      </c>
      <c r="E1342" s="1100">
        <v>1.0138697604834341</v>
      </c>
      <c r="F1342" s="1100">
        <v>0.96368195929657952</v>
      </c>
      <c r="G1342" s="1100">
        <v>0.99401239583300083</v>
      </c>
      <c r="H1342" s="1100">
        <v>0.9620520280723649</v>
      </c>
      <c r="I1342" s="1100">
        <v>1.0074989489482098</v>
      </c>
      <c r="K1342">
        <v>1.2744284348355674</v>
      </c>
      <c r="L1342">
        <v>0</v>
      </c>
      <c r="M1342">
        <v>5.634724932123055E-4</v>
      </c>
      <c r="N1342">
        <v>5.4023297710245888E-2</v>
      </c>
      <c r="O1342">
        <v>7.7885032703767336E-3</v>
      </c>
      <c r="P1342">
        <v>1.5876128465952429E-2</v>
      </c>
      <c r="Q1342">
        <v>4.572419363747702E-4</v>
      </c>
      <c r="R1342">
        <v>5.6174419779240884E-4</v>
      </c>
      <c r="S1342">
        <v>6.0166553316504293E-2</v>
      </c>
      <c r="T1342">
        <v>0.99448973884840908</v>
      </c>
      <c r="U1342">
        <v>0</v>
      </c>
      <c r="V1342">
        <v>9.737978169833944E-2</v>
      </c>
      <c r="W1342">
        <v>3.5199861874677864E-2</v>
      </c>
      <c r="X1342">
        <v>7.5201734826393874E-3</v>
      </c>
      <c r="Y1342">
        <v>1.5288825274659026E-3</v>
      </c>
    </row>
    <row r="1343" spans="1:25" x14ac:dyDescent="0.25">
      <c r="A1343" s="1096"/>
      <c r="B1343" s="1455">
        <v>1093</v>
      </c>
      <c r="C1343" s="1100">
        <v>1.0164165188694185</v>
      </c>
      <c r="D1343" s="1100">
        <v>1.0172742846901579</v>
      </c>
      <c r="E1343" s="1100">
        <v>1.013896386948361</v>
      </c>
      <c r="F1343" s="1100">
        <v>1.0046713072198179</v>
      </c>
      <c r="G1343" s="1100">
        <v>0.99202808782695961</v>
      </c>
      <c r="H1343" s="1100">
        <v>0.98816826716408368</v>
      </c>
      <c r="I1343" s="1100">
        <v>0.99261222392693294</v>
      </c>
      <c r="K1343">
        <v>1.3149651620456904</v>
      </c>
      <c r="L1343">
        <v>0</v>
      </c>
      <c r="M1343">
        <v>5.6382112793819036E-4</v>
      </c>
      <c r="N1343">
        <v>5.4065463453149658E-2</v>
      </c>
      <c r="O1343">
        <v>7.5877793429751433E-3</v>
      </c>
      <c r="P1343">
        <v>1.6427288517150244E-2</v>
      </c>
      <c r="Q1343">
        <v>4.4546980961334694E-4</v>
      </c>
      <c r="R1343">
        <v>5.621374684542424E-4</v>
      </c>
      <c r="S1343">
        <v>5.827390095355825E-2</v>
      </c>
      <c r="T1343">
        <v>1.0367886828488426</v>
      </c>
      <c r="U1343">
        <v>0</v>
      </c>
      <c r="V1343">
        <v>9.6948786567219794E-2</v>
      </c>
      <c r="W1343">
        <v>3.5226784320316736E-2</v>
      </c>
      <c r="X1343">
        <v>7.6727370117803508E-3</v>
      </c>
      <c r="Y1343">
        <v>1.5299528805657742E-3</v>
      </c>
    </row>
    <row r="1344" spans="1:25" x14ac:dyDescent="0.25">
      <c r="A1344" s="1096"/>
      <c r="B1344" s="1455">
        <v>1094</v>
      </c>
      <c r="C1344" s="1100">
        <v>0.98271386317625675</v>
      </c>
      <c r="D1344" s="1100">
        <v>1.0287798007300981</v>
      </c>
      <c r="E1344" s="1100">
        <v>1.0206236961476001</v>
      </c>
      <c r="F1344" s="1100">
        <v>0.96492436946267957</v>
      </c>
      <c r="G1344" s="1100">
        <v>1.0065951134421407</v>
      </c>
      <c r="H1344" s="1100">
        <v>1.0197449670142376</v>
      </c>
      <c r="I1344" s="1100">
        <v>1.0329409978851072</v>
      </c>
      <c r="K1344">
        <v>1.2863642681028027</v>
      </c>
      <c r="L1344">
        <v>0</v>
      </c>
      <c r="M1344">
        <v>5.9076734904023331E-4</v>
      </c>
      <c r="N1344">
        <v>5.7816400815154184E-2</v>
      </c>
      <c r="O1344">
        <v>7.8144455889333359E-3</v>
      </c>
      <c r="P1344">
        <v>1.6029857314009872E-2</v>
      </c>
      <c r="Q1344">
        <v>4.6186033596059905E-4</v>
      </c>
      <c r="R1344">
        <v>5.8905785050806592E-4</v>
      </c>
      <c r="S1344">
        <v>6.3353088082163778E-2</v>
      </c>
      <c r="T1344">
        <v>0.99558122752476785</v>
      </c>
      <c r="U1344">
        <v>0</v>
      </c>
      <c r="V1344">
        <v>9.8497580858198236E-2</v>
      </c>
      <c r="W1344">
        <v>3.7522444352976893E-2</v>
      </c>
      <c r="X1344">
        <v>7.6858514429559432E-3</v>
      </c>
      <c r="Y1344">
        <v>1.6032212862147231E-3</v>
      </c>
    </row>
    <row r="1345" spans="1:25" x14ac:dyDescent="0.25">
      <c r="A1345" s="1096"/>
      <c r="B1345" s="1455">
        <v>1095</v>
      </c>
      <c r="C1345" s="1100">
        <v>1.0075018098087507</v>
      </c>
      <c r="D1345" s="1100">
        <v>0.99373254903942121</v>
      </c>
      <c r="E1345" s="1100">
        <v>0.97989089744253299</v>
      </c>
      <c r="F1345" s="1100">
        <v>1.0240179128123028</v>
      </c>
      <c r="G1345" s="1100">
        <v>0.99127700456085799</v>
      </c>
      <c r="H1345" s="1100">
        <v>1.0038123391038141</v>
      </c>
      <c r="I1345" s="1100">
        <v>1.0293933997286753</v>
      </c>
      <c r="K1345">
        <v>1.3407735357466819</v>
      </c>
      <c r="L1345">
        <v>0</v>
      </c>
      <c r="M1345">
        <v>6.2585735627384469E-4</v>
      </c>
      <c r="N1345">
        <v>5.4155865908210817E-2</v>
      </c>
      <c r="O1345">
        <v>7.7186460687013007E-3</v>
      </c>
      <c r="P1345">
        <v>1.6351387364411073E-2</v>
      </c>
      <c r="Q1345">
        <v>4.378989903429056E-4</v>
      </c>
      <c r="R1345">
        <v>6.240175730695928E-4</v>
      </c>
      <c r="S1345">
        <v>6.2194692349424971E-2</v>
      </c>
      <c r="T1345">
        <v>1.0577934876967403</v>
      </c>
      <c r="U1345">
        <v>0</v>
      </c>
      <c r="V1345">
        <v>9.7090540380799797E-2</v>
      </c>
      <c r="W1345">
        <v>3.6007916402438216E-2</v>
      </c>
      <c r="X1345">
        <v>7.3265702422596344E-3</v>
      </c>
      <c r="Y1345">
        <v>1.6983701265577539E-3</v>
      </c>
    </row>
    <row r="1346" spans="1:25" x14ac:dyDescent="0.25">
      <c r="A1346" s="1096"/>
      <c r="B1346" s="1455">
        <v>1096</v>
      </c>
      <c r="C1346" s="1100">
        <v>0.99292192384977374</v>
      </c>
      <c r="D1346" s="1100">
        <v>1.0024135725003291</v>
      </c>
      <c r="E1346" s="1100">
        <v>0.99702722966461843</v>
      </c>
      <c r="F1346" s="1100">
        <v>1.0157422301522199</v>
      </c>
      <c r="G1346" s="1100">
        <v>1.0176528102506994</v>
      </c>
      <c r="H1346" s="1100">
        <v>0.99282554463315076</v>
      </c>
      <c r="I1346" s="1100">
        <v>1.0029782426052489</v>
      </c>
      <c r="K1346">
        <v>1.3335279361048933</v>
      </c>
      <c r="L1346">
        <v>0</v>
      </c>
      <c r="M1346">
        <v>6.040960533247225E-4</v>
      </c>
      <c r="N1346">
        <v>5.5051047070729421E-2</v>
      </c>
      <c r="O1346">
        <v>7.8090087406745227E-3</v>
      </c>
      <c r="P1346">
        <v>1.6445186896640158E-2</v>
      </c>
      <c r="Q1346">
        <v>4.507726293766471E-4</v>
      </c>
      <c r="R1346">
        <v>6.0230058861218802E-4</v>
      </c>
      <c r="S1346">
        <v>6.0880822275904314E-2</v>
      </c>
      <c r="T1346">
        <v>1.0487207532924616</v>
      </c>
      <c r="U1346">
        <v>0</v>
      </c>
      <c r="V1346">
        <v>9.874660886522528E-2</v>
      </c>
      <c r="W1346">
        <v>3.6228825112175123E-2</v>
      </c>
      <c r="X1346">
        <v>7.5574430325519989E-3</v>
      </c>
      <c r="Y1346">
        <v>1.6392636538667012E-3</v>
      </c>
    </row>
    <row r="1347" spans="1:25" x14ac:dyDescent="0.25">
      <c r="A1347" s="1096"/>
      <c r="B1347" s="1455">
        <v>1097</v>
      </c>
      <c r="C1347" s="1100">
        <v>1.00046684188496</v>
      </c>
      <c r="D1347" s="1100">
        <v>1.045449583407511</v>
      </c>
      <c r="E1347" s="1100">
        <v>1.0377666755827577</v>
      </c>
      <c r="F1347" s="1100">
        <v>1.0419628021128251</v>
      </c>
      <c r="G1347" s="1100">
        <v>1.0258045987422892</v>
      </c>
      <c r="H1347" s="1100">
        <v>0.99771556294911479</v>
      </c>
      <c r="I1347" s="1100">
        <v>0.98109793230785258</v>
      </c>
      <c r="K1347">
        <v>1.3587269073599477</v>
      </c>
      <c r="L1347">
        <v>0</v>
      </c>
      <c r="M1347">
        <v>5.4431677340222636E-4</v>
      </c>
      <c r="N1347">
        <v>5.6092343332242445E-2</v>
      </c>
      <c r="O1347">
        <v>7.630738327427021E-3</v>
      </c>
      <c r="P1347">
        <v>1.7269693489439485E-2</v>
      </c>
      <c r="Q1347">
        <v>4.5871535875909806E-4</v>
      </c>
      <c r="R1347">
        <v>5.427069108831211E-4</v>
      </c>
      <c r="S1347">
        <v>5.7968402317714024E-2</v>
      </c>
      <c r="T1347">
        <v>1.0745510605969539</v>
      </c>
      <c r="U1347">
        <v>0</v>
      </c>
      <c r="V1347">
        <v>9.8998847975329374E-2</v>
      </c>
      <c r="W1347">
        <v>3.6042854757972136E-2</v>
      </c>
      <c r="X1347">
        <v>8.2387917584899693E-3</v>
      </c>
      <c r="Y1347">
        <v>1.4770693081387642E-3</v>
      </c>
    </row>
    <row r="1348" spans="1:25" x14ac:dyDescent="0.25">
      <c r="A1348" s="1096"/>
      <c r="B1348" s="1455">
        <v>1098</v>
      </c>
      <c r="C1348" s="1100">
        <v>1.0022723314376571</v>
      </c>
      <c r="D1348" s="1100">
        <v>1.0194737237398863</v>
      </c>
      <c r="E1348" s="1100">
        <v>1.0314600707034089</v>
      </c>
      <c r="F1348" s="1100">
        <v>0.96446422360465422</v>
      </c>
      <c r="G1348" s="1100">
        <v>0.97108672572255184</v>
      </c>
      <c r="H1348" s="1100">
        <v>0.99789137250852811</v>
      </c>
      <c r="I1348" s="1100">
        <v>1.0099958442780952</v>
      </c>
      <c r="K1348">
        <v>1.277490908770395</v>
      </c>
      <c r="L1348">
        <v>0</v>
      </c>
      <c r="M1348">
        <v>5.5619519630498019E-4</v>
      </c>
      <c r="N1348">
        <v>5.6237425665092225E-2</v>
      </c>
      <c r="O1348">
        <v>7.6924975838348697E-3</v>
      </c>
      <c r="P1348">
        <v>1.6073850962748173E-2</v>
      </c>
      <c r="Q1348">
        <v>4.5956079506857025E-4</v>
      </c>
      <c r="R1348">
        <v>5.5455049217045761E-4</v>
      </c>
      <c r="S1348">
        <v>6.0375673876893743E-2</v>
      </c>
      <c r="T1348">
        <v>0.99480345561996741</v>
      </c>
      <c r="U1348">
        <v>0</v>
      </c>
      <c r="V1348">
        <v>9.6299376242372808E-2</v>
      </c>
      <c r="W1348">
        <v>3.62681304185304E-2</v>
      </c>
      <c r="X1348">
        <v>7.7732786778524016E-3</v>
      </c>
      <c r="Y1348">
        <v>1.5093036321673727E-3</v>
      </c>
    </row>
    <row r="1349" spans="1:25" x14ac:dyDescent="0.25">
      <c r="A1349" s="1096"/>
      <c r="B1349" s="1455">
        <v>1099</v>
      </c>
      <c r="C1349" s="1100">
        <v>0.99196159138180273</v>
      </c>
      <c r="D1349" s="1100">
        <v>1.0086395372678774</v>
      </c>
      <c r="E1349" s="1100">
        <v>1.0228292020872582</v>
      </c>
      <c r="F1349" s="1100">
        <v>0.9699271540951433</v>
      </c>
      <c r="G1349" s="1100">
        <v>0.99611804309632557</v>
      </c>
      <c r="H1349" s="1100">
        <v>0.99741605328125138</v>
      </c>
      <c r="I1349" s="1100">
        <v>1.0115984593075908</v>
      </c>
      <c r="K1349">
        <v>1.2867474348066719</v>
      </c>
      <c r="L1349">
        <v>0</v>
      </c>
      <c r="M1349">
        <v>5.7434733689339047E-4</v>
      </c>
      <c r="N1349">
        <v>5.6580944259933021E-2</v>
      </c>
      <c r="O1349">
        <v>7.8036062054426588E-3</v>
      </c>
      <c r="P1349">
        <v>1.6089495731337288E-2</v>
      </c>
      <c r="Q1349">
        <v>4.6223110451158939E-4</v>
      </c>
      <c r="R1349">
        <v>5.7264814637429456E-4</v>
      </c>
      <c r="S1349">
        <v>6.1427650841279977E-2</v>
      </c>
      <c r="T1349">
        <v>1.0006806643172987</v>
      </c>
      <c r="U1349">
        <v>0</v>
      </c>
      <c r="V1349">
        <v>9.775796472906477E-2</v>
      </c>
      <c r="W1349">
        <v>3.6673354282486213E-2</v>
      </c>
      <c r="X1349">
        <v>7.7146630448137292E-3</v>
      </c>
      <c r="Y1349">
        <v>1.5585594810201115E-3</v>
      </c>
    </row>
    <row r="1350" spans="1:25" x14ac:dyDescent="0.25">
      <c r="A1350" s="1096"/>
      <c r="B1350" s="1455">
        <v>1100</v>
      </c>
      <c r="C1350" s="1100">
        <v>1.00025858052907</v>
      </c>
      <c r="D1350" s="1100">
        <v>1.019471536461166</v>
      </c>
      <c r="E1350" s="1100">
        <v>1.0052589722451326</v>
      </c>
      <c r="F1350" s="1100">
        <v>0.9825067167545698</v>
      </c>
      <c r="G1350" s="1100">
        <v>0.96821561837708492</v>
      </c>
      <c r="H1350" s="1100">
        <v>0.98337642393026869</v>
      </c>
      <c r="I1350" s="1100">
        <v>0.98847131608196115</v>
      </c>
      <c r="K1350">
        <v>1.2919543569755256</v>
      </c>
      <c r="L1350">
        <v>0</v>
      </c>
      <c r="M1350">
        <v>5.7997254988617956E-4</v>
      </c>
      <c r="N1350">
        <v>5.4181936594001029E-2</v>
      </c>
      <c r="O1350">
        <v>7.7015924648000215E-3</v>
      </c>
      <c r="P1350">
        <v>1.6008886603949172E-2</v>
      </c>
      <c r="Q1350">
        <v>4.4826353462795298E-4</v>
      </c>
      <c r="R1350">
        <v>5.7823222045308615E-4</v>
      </c>
      <c r="S1350">
        <v>5.8748267018525729E-2</v>
      </c>
      <c r="T1350">
        <v>1.0141657115942642</v>
      </c>
      <c r="U1350">
        <v>0</v>
      </c>
      <c r="V1350">
        <v>9.6181080589657242E-2</v>
      </c>
      <c r="W1350">
        <v>3.5482998890488483E-2</v>
      </c>
      <c r="X1350">
        <v>7.4636025247701932E-3</v>
      </c>
      <c r="Y1350">
        <v>1.5737574898730571E-3</v>
      </c>
    </row>
    <row r="1351" spans="1:25" x14ac:dyDescent="0.25">
      <c r="A1351" s="1096"/>
      <c r="B1351" s="1455">
        <v>1101</v>
      </c>
      <c r="C1351" s="1100">
        <v>0.99351078211890764</v>
      </c>
      <c r="D1351" s="1100">
        <v>0.99561124524682298</v>
      </c>
      <c r="E1351" s="1100">
        <v>1.003449690159169</v>
      </c>
      <c r="F1351" s="1100">
        <v>0.97491906206098056</v>
      </c>
      <c r="G1351" s="1100">
        <v>1.0012607018212158</v>
      </c>
      <c r="H1351" s="1100">
        <v>0.97549444103817573</v>
      </c>
      <c r="I1351" s="1100">
        <v>1.0247284434406307</v>
      </c>
      <c r="K1351">
        <v>1.2897392445337681</v>
      </c>
      <c r="L1351">
        <v>0</v>
      </c>
      <c r="M1351">
        <v>5.8694482675593839E-4</v>
      </c>
      <c r="N1351">
        <v>5.4533152877925338E-2</v>
      </c>
      <c r="O1351">
        <v>7.8272552385715635E-3</v>
      </c>
      <c r="P1351">
        <v>1.5947597678980647E-2</v>
      </c>
      <c r="Q1351">
        <v>4.5475181646698049E-4</v>
      </c>
      <c r="R1351">
        <v>5.8516934465408616E-4</v>
      </c>
      <c r="S1351">
        <v>6.1851487702967028E-2</v>
      </c>
      <c r="T1351">
        <v>1.0063858364004132</v>
      </c>
      <c r="U1351">
        <v>0</v>
      </c>
      <c r="V1351">
        <v>9.7946019281640359E-2</v>
      </c>
      <c r="W1351">
        <v>3.5751297905424327E-2</v>
      </c>
      <c r="X1351">
        <v>7.4509830583523E-3</v>
      </c>
      <c r="Y1351">
        <v>1.592638055125801E-3</v>
      </c>
    </row>
    <row r="1352" spans="1:25" x14ac:dyDescent="0.25">
      <c r="A1352" s="1096"/>
      <c r="B1352" s="1455">
        <v>1102</v>
      </c>
      <c r="C1352" s="1100">
        <v>1.0108095171938463</v>
      </c>
      <c r="D1352" s="1100">
        <v>0.9597917904231843</v>
      </c>
      <c r="E1352" s="1100">
        <v>1.0042709986762162</v>
      </c>
      <c r="F1352" s="1100">
        <v>0.99904829258665229</v>
      </c>
      <c r="G1352" s="1100">
        <v>1.0344886652078193</v>
      </c>
      <c r="H1352" s="1100">
        <v>0.99326207019589607</v>
      </c>
      <c r="I1352" s="1100">
        <v>0.99155732177454892</v>
      </c>
      <c r="K1352">
        <v>1.3164378516732442</v>
      </c>
      <c r="L1352">
        <v>0</v>
      </c>
      <c r="M1352">
        <v>5.9506495317048803E-4</v>
      </c>
      <c r="N1352">
        <v>5.5427922755769653E-2</v>
      </c>
      <c r="O1352">
        <v>7.8070893381635949E-3</v>
      </c>
      <c r="P1352">
        <v>1.6296019027731864E-2</v>
      </c>
      <c r="Q1352">
        <v>4.5395402169707248E-4</v>
      </c>
      <c r="R1352">
        <v>5.9329710753807654E-4</v>
      </c>
      <c r="S1352">
        <v>6.0539578192659739E-2</v>
      </c>
      <c r="T1352">
        <v>1.0312695403412906</v>
      </c>
      <c r="U1352">
        <v>0</v>
      </c>
      <c r="V1352">
        <v>9.9127522505822949E-2</v>
      </c>
      <c r="W1352">
        <v>3.6320218831579515E-2</v>
      </c>
      <c r="X1352">
        <v>7.5830153577808885E-3</v>
      </c>
      <c r="Y1352">
        <v>1.6147591463797075E-3</v>
      </c>
    </row>
    <row r="1353" spans="1:25" x14ac:dyDescent="0.25">
      <c r="A1353" s="1096"/>
      <c r="B1353" s="1455">
        <v>1103</v>
      </c>
      <c r="C1353" s="1100">
        <v>0.9878837704105311</v>
      </c>
      <c r="D1353" s="1100">
        <v>1.0187515645036822</v>
      </c>
      <c r="E1353" s="1100">
        <v>0.99353651588991521</v>
      </c>
      <c r="F1353" s="1100">
        <v>1.045924225133918</v>
      </c>
      <c r="G1353" s="1100">
        <v>0.99226308152761844</v>
      </c>
      <c r="H1353" s="1100">
        <v>0.99392842619870136</v>
      </c>
      <c r="I1353" s="1100">
        <v>0.97027590626556948</v>
      </c>
      <c r="K1353">
        <v>1.3616887348994278</v>
      </c>
      <c r="L1353">
        <v>0</v>
      </c>
      <c r="M1353">
        <v>6.083187608340461E-4</v>
      </c>
      <c r="N1353">
        <v>5.4854276188155797E-2</v>
      </c>
      <c r="O1353">
        <v>7.7973800508744423E-3</v>
      </c>
      <c r="P1353">
        <v>1.6782252670486747E-2</v>
      </c>
      <c r="Q1353">
        <v>4.4852070386595971E-4</v>
      </c>
      <c r="R1353">
        <v>6.0651275180451266E-4</v>
      </c>
      <c r="S1353">
        <v>5.8714421726295922E-2</v>
      </c>
      <c r="T1353">
        <v>1.079991866259576</v>
      </c>
      <c r="U1353">
        <v>0</v>
      </c>
      <c r="V1353">
        <v>9.7641747307679119E-2</v>
      </c>
      <c r="W1353">
        <v>3.6174584030305844E-2</v>
      </c>
      <c r="X1353">
        <v>7.6347641976789119E-3</v>
      </c>
      <c r="Y1353">
        <v>1.650727773536985E-3</v>
      </c>
    </row>
    <row r="1354" spans="1:25" x14ac:dyDescent="0.25">
      <c r="A1354" s="1096"/>
      <c r="B1354" s="1455">
        <v>1104</v>
      </c>
      <c r="C1354" s="1100">
        <v>1.0315645356731642</v>
      </c>
      <c r="D1354" s="1100">
        <v>0.99786788874348531</v>
      </c>
      <c r="E1354" s="1100">
        <v>0.96121218239149675</v>
      </c>
      <c r="F1354" s="1100">
        <v>0.98496386354969867</v>
      </c>
      <c r="G1354" s="1100">
        <v>0.99856575314731766</v>
      </c>
      <c r="H1354" s="1100">
        <v>1.0102834402961158</v>
      </c>
      <c r="I1354" s="1100">
        <v>0.99818137224955605</v>
      </c>
      <c r="K1354">
        <v>1.2931447288411044</v>
      </c>
      <c r="L1354">
        <v>0</v>
      </c>
      <c r="M1354">
        <v>6.3832606861106912E-4</v>
      </c>
      <c r="N1354">
        <v>5.2198678213963942E-2</v>
      </c>
      <c r="O1354">
        <v>7.5216581485242073E-3</v>
      </c>
      <c r="P1354">
        <v>1.554596421123906E-2</v>
      </c>
      <c r="Q1354">
        <v>4.1865641791271317E-4</v>
      </c>
      <c r="R1354">
        <v>6.3646165113622421E-4</v>
      </c>
      <c r="S1354">
        <v>5.8944717186543254E-2</v>
      </c>
      <c r="T1354">
        <v>1.0180151311587509</v>
      </c>
      <c r="U1354">
        <v>0</v>
      </c>
      <c r="V1354">
        <v>9.6849139589174307E-2</v>
      </c>
      <c r="W1354">
        <v>3.5103236390140978E-2</v>
      </c>
      <c r="X1354">
        <v>6.817173137462198E-3</v>
      </c>
      <c r="Y1354">
        <v>1.7322388048658932E-3</v>
      </c>
    </row>
    <row r="1355" spans="1:25" x14ac:dyDescent="0.25">
      <c r="A1355" s="1096"/>
      <c r="B1355" s="1455">
        <v>1105</v>
      </c>
      <c r="C1355" s="1100">
        <v>1.011601696081454</v>
      </c>
      <c r="D1355" s="1100">
        <v>0.98975794472281386</v>
      </c>
      <c r="E1355" s="1100">
        <v>1.0282211410280644</v>
      </c>
      <c r="F1355" s="1100">
        <v>0.98531818170925045</v>
      </c>
      <c r="G1355" s="1100">
        <v>0.99817210310471083</v>
      </c>
      <c r="H1355" s="1100">
        <v>1.0262383280555185</v>
      </c>
      <c r="I1355" s="1100">
        <v>1.0199038134106353</v>
      </c>
      <c r="K1355">
        <v>1.3051788291864619</v>
      </c>
      <c r="L1355">
        <v>0</v>
      </c>
      <c r="M1355">
        <v>5.773488208797692E-4</v>
      </c>
      <c r="N1355">
        <v>5.7813806223160666E-2</v>
      </c>
      <c r="O1355">
        <v>7.7114799424907376E-3</v>
      </c>
      <c r="P1355">
        <v>1.6377967832173997E-2</v>
      </c>
      <c r="Q1355">
        <v>4.5922177038860518E-4</v>
      </c>
      <c r="R1355">
        <v>5.7568872232745011E-4</v>
      </c>
      <c r="S1355">
        <v>6.224519896026872E-2</v>
      </c>
      <c r="T1355">
        <v>1.0164055854265146</v>
      </c>
      <c r="U1355">
        <v>0</v>
      </c>
      <c r="V1355">
        <v>9.7378164383879445E-2</v>
      </c>
      <c r="W1355">
        <v>3.7354930023601629E-2</v>
      </c>
      <c r="X1355">
        <v>7.8672997960952239E-3</v>
      </c>
      <c r="Y1355">
        <v>1.5668349264390071E-3</v>
      </c>
    </row>
    <row r="1356" spans="1:25" x14ac:dyDescent="0.25">
      <c r="A1356" s="1096"/>
      <c r="B1356" s="1455">
        <v>1106</v>
      </c>
      <c r="C1356" s="1100">
        <v>0.99534460117699575</v>
      </c>
      <c r="D1356" s="1100">
        <v>1.0065799043150787</v>
      </c>
      <c r="E1356" s="1100">
        <v>0.98498668389364485</v>
      </c>
      <c r="F1356" s="1100">
        <v>1.032777344519904</v>
      </c>
      <c r="G1356" s="1100">
        <v>0.99983538528549032</v>
      </c>
      <c r="H1356" s="1100">
        <v>1.0004009508223239</v>
      </c>
      <c r="I1356" s="1100">
        <v>1.0030334221908921</v>
      </c>
      <c r="K1356">
        <v>1.3500130146552609</v>
      </c>
      <c r="L1356">
        <v>0</v>
      </c>
      <c r="M1356">
        <v>6.2152680663105791E-4</v>
      </c>
      <c r="N1356">
        <v>5.4616069667767365E-2</v>
      </c>
      <c r="O1356">
        <v>7.7741305957941828E-3</v>
      </c>
      <c r="P1356">
        <v>1.6525730045385684E-2</v>
      </c>
      <c r="Q1356">
        <v>4.4333392109188779E-4</v>
      </c>
      <c r="R1356">
        <v>6.1969352331067208E-4</v>
      </c>
      <c r="S1356">
        <v>6.0821612178823335E-2</v>
      </c>
      <c r="T1356">
        <v>1.0666824260162435</v>
      </c>
      <c r="U1356">
        <v>0</v>
      </c>
      <c r="V1356">
        <v>9.7810517093104066E-2</v>
      </c>
      <c r="W1356">
        <v>3.6202553635911933E-2</v>
      </c>
      <c r="X1356">
        <v>7.4518732959203927E-3</v>
      </c>
      <c r="Y1356">
        <v>1.6866014885365923E-3</v>
      </c>
    </row>
    <row r="1357" spans="1:25" x14ac:dyDescent="0.25">
      <c r="A1357" s="1096"/>
      <c r="B1357" s="1455">
        <v>1107</v>
      </c>
      <c r="C1357" s="1100">
        <v>1.0189607355184633</v>
      </c>
      <c r="D1357" s="1100">
        <v>1.0169992981989291</v>
      </c>
      <c r="E1357" s="1100">
        <v>0.98844749224476125</v>
      </c>
      <c r="F1357" s="1100">
        <v>0.97290561435861123</v>
      </c>
      <c r="G1357" s="1100">
        <v>0.98683386918031735</v>
      </c>
      <c r="H1357" s="1100">
        <v>1.0163466021668586</v>
      </c>
      <c r="I1357" s="1100">
        <v>0.99772855509160696</v>
      </c>
      <c r="K1357">
        <v>1.2830853056672469</v>
      </c>
      <c r="L1357">
        <v>0</v>
      </c>
      <c r="M1357">
        <v>6.0987866925408683E-4</v>
      </c>
      <c r="N1357">
        <v>5.415886218166456E-2</v>
      </c>
      <c r="O1357">
        <v>7.5635614823809528E-3</v>
      </c>
      <c r="P1357">
        <v>1.5693945780956568E-2</v>
      </c>
      <c r="Q1357">
        <v>4.3284004553965889E-4</v>
      </c>
      <c r="R1357">
        <v>6.0810796747852046E-4</v>
      </c>
      <c r="S1357">
        <v>5.9249198303628889E-2</v>
      </c>
      <c r="T1357">
        <v>1.0047436093397759</v>
      </c>
      <c r="U1357">
        <v>0</v>
      </c>
      <c r="V1357">
        <v>9.6608474999054353E-2</v>
      </c>
      <c r="W1357">
        <v>3.5824947005730454E-2</v>
      </c>
      <c r="X1357">
        <v>7.1565678055513088E-3</v>
      </c>
      <c r="Y1357">
        <v>1.6550694247389286E-3</v>
      </c>
    </row>
    <row r="1358" spans="1:25" x14ac:dyDescent="0.25">
      <c r="A1358" s="1096"/>
      <c r="B1358" s="1455">
        <v>1108</v>
      </c>
      <c r="C1358" s="1100">
        <v>0.99301709121433401</v>
      </c>
      <c r="D1358" s="1100">
        <v>0.9667054425108802</v>
      </c>
      <c r="E1358" s="1100">
        <v>1.0145219519912247</v>
      </c>
      <c r="F1358" s="1100">
        <v>0.96947216522647661</v>
      </c>
      <c r="G1358" s="1100">
        <v>1.0213143053814178</v>
      </c>
      <c r="H1358" s="1100">
        <v>0.99707645309629567</v>
      </c>
      <c r="I1358" s="1100">
        <v>0.96063995630467502</v>
      </c>
      <c r="K1358">
        <v>1.2867474676389925</v>
      </c>
      <c r="L1358">
        <v>0</v>
      </c>
      <c r="M1358">
        <v>5.9353546922049055E-4</v>
      </c>
      <c r="N1358">
        <v>5.7023888500991354E-2</v>
      </c>
      <c r="O1358">
        <v>7.9267626077354873E-3</v>
      </c>
      <c r="P1358">
        <v>1.5979557732299639E-2</v>
      </c>
      <c r="Q1358">
        <v>4.6566155812663017E-4</v>
      </c>
      <c r="R1358">
        <v>5.9177891307684021E-4</v>
      </c>
      <c r="S1358">
        <v>5.9596845058435578E-2</v>
      </c>
      <c r="T1358">
        <v>1.0004464978248495</v>
      </c>
      <c r="U1358">
        <v>0</v>
      </c>
      <c r="V1358">
        <v>9.8941081715124765E-2</v>
      </c>
      <c r="W1358">
        <v>3.7140712113760563E-2</v>
      </c>
      <c r="X1358">
        <v>7.6175899622820146E-3</v>
      </c>
      <c r="Y1358">
        <v>1.6106271215288923E-3</v>
      </c>
    </row>
    <row r="1359" spans="1:25" x14ac:dyDescent="0.25">
      <c r="A1359" s="1096"/>
      <c r="B1359" s="1455">
        <v>1109</v>
      </c>
      <c r="C1359" s="1100">
        <v>1.009202559069478</v>
      </c>
      <c r="D1359" s="1100">
        <v>0.97473034914729217</v>
      </c>
      <c r="E1359" s="1100">
        <v>0.99883778986029315</v>
      </c>
      <c r="F1359" s="1100">
        <v>1.0047598524173322</v>
      </c>
      <c r="G1359" s="1100">
        <v>1.0314712933693928</v>
      </c>
      <c r="H1359" s="1100">
        <v>1.0050740798287712</v>
      </c>
      <c r="I1359" s="1100">
        <v>1.0331284761833317</v>
      </c>
      <c r="K1359">
        <v>1.3251713474117353</v>
      </c>
      <c r="L1359">
        <v>0</v>
      </c>
      <c r="M1359">
        <v>6.0618101244385607E-4</v>
      </c>
      <c r="N1359">
        <v>5.5546114208527925E-2</v>
      </c>
      <c r="O1359">
        <v>7.7700266260584188E-3</v>
      </c>
      <c r="P1359">
        <v>1.6345063199254776E-2</v>
      </c>
      <c r="Q1359">
        <v>4.4934036135856791E-4</v>
      </c>
      <c r="R1359">
        <v>6.0440130722446837E-4</v>
      </c>
      <c r="S1359">
        <v>6.3023114103137781E-2</v>
      </c>
      <c r="T1359">
        <v>1.0373275460450351</v>
      </c>
      <c r="U1359">
        <v>0</v>
      </c>
      <c r="V1359">
        <v>9.9014488319426233E-2</v>
      </c>
      <c r="W1359">
        <v>3.6515246972754975E-2</v>
      </c>
      <c r="X1359">
        <v>7.5372061639727784E-3</v>
      </c>
      <c r="Y1359">
        <v>1.6449811174276234E-3</v>
      </c>
    </row>
    <row r="1360" spans="1:25" x14ac:dyDescent="0.25">
      <c r="A1360" s="1096"/>
      <c r="B1360" s="1455">
        <v>1110</v>
      </c>
      <c r="C1360" s="1100">
        <v>1.0170818691654906</v>
      </c>
      <c r="D1360" s="1100">
        <v>0.97926364206317151</v>
      </c>
      <c r="E1360" s="1100">
        <v>1.0066770587335292</v>
      </c>
      <c r="F1360" s="1100">
        <v>1.0167975157972893</v>
      </c>
      <c r="G1360" s="1100">
        <v>1.0146670503695492</v>
      </c>
      <c r="H1360" s="1100">
        <v>1.0098635071265483</v>
      </c>
      <c r="I1360" s="1100">
        <v>0.99477154387532751</v>
      </c>
      <c r="K1360">
        <v>1.3338696859237527</v>
      </c>
      <c r="L1360">
        <v>0</v>
      </c>
      <c r="M1360">
        <v>5.9349656873347405E-4</v>
      </c>
      <c r="N1360">
        <v>5.568771927098444E-2</v>
      </c>
      <c r="O1360">
        <v>7.6974448896030704E-3</v>
      </c>
      <c r="P1360">
        <v>1.6555658099323318E-2</v>
      </c>
      <c r="Q1360">
        <v>4.4865910194020114E-4</v>
      </c>
      <c r="R1360">
        <v>5.9176236805349048E-4</v>
      </c>
      <c r="S1360">
        <v>6.0215244081960911E-2</v>
      </c>
      <c r="T1360">
        <v>1.0495187896229254</v>
      </c>
      <c r="U1360">
        <v>0</v>
      </c>
      <c r="V1360">
        <v>9.8020061276478665E-2</v>
      </c>
      <c r="W1360">
        <v>3.6438534935895626E-2</v>
      </c>
      <c r="X1360">
        <v>7.6787267538912171E-3</v>
      </c>
      <c r="Y1360">
        <v>1.6105820914293996E-3</v>
      </c>
    </row>
    <row r="1361" spans="1:25" x14ac:dyDescent="0.25">
      <c r="A1361" s="1096"/>
      <c r="B1361" s="1455">
        <v>1111</v>
      </c>
      <c r="C1361" s="1100">
        <v>0.99756068801401088</v>
      </c>
      <c r="D1361" s="1100">
        <v>0.97093184196296034</v>
      </c>
      <c r="E1361" s="1100">
        <v>0.96724389465111715</v>
      </c>
      <c r="F1361" s="1100">
        <v>0.99634632835575854</v>
      </c>
      <c r="G1361" s="1100">
        <v>0.95127029698945431</v>
      </c>
      <c r="H1361" s="1100">
        <v>0.98056743819756853</v>
      </c>
      <c r="I1361" s="1100">
        <v>0.97758565142144305</v>
      </c>
      <c r="K1361">
        <v>1.3064524562015458</v>
      </c>
      <c r="L1361">
        <v>0</v>
      </c>
      <c r="M1361">
        <v>6.397123674373688E-4</v>
      </c>
      <c r="N1361">
        <v>5.3271896490612737E-2</v>
      </c>
      <c r="O1361">
        <v>7.8651469423764268E-3</v>
      </c>
      <c r="P1361">
        <v>1.5762849018033556E-2</v>
      </c>
      <c r="Q1361">
        <v>4.404909767196048E-4</v>
      </c>
      <c r="R1361">
        <v>6.3778727717252366E-4</v>
      </c>
      <c r="S1361">
        <v>5.9685060803927006E-2</v>
      </c>
      <c r="T1361">
        <v>1.0295942273487322</v>
      </c>
      <c r="U1361">
        <v>0</v>
      </c>
      <c r="V1361">
        <v>9.5386670105911522E-2</v>
      </c>
      <c r="W1361">
        <v>3.5693089487890024E-2</v>
      </c>
      <c r="X1361">
        <v>7.0191033956613844E-3</v>
      </c>
      <c r="Y1361">
        <v>1.7358467219441942E-3</v>
      </c>
    </row>
    <row r="1362" spans="1:25" x14ac:dyDescent="0.25">
      <c r="A1362" s="1096"/>
      <c r="B1362" s="1455">
        <v>1112</v>
      </c>
      <c r="C1362" s="1100">
        <v>0.99507013070161721</v>
      </c>
      <c r="D1362" s="1100">
        <v>0.99483254494314899</v>
      </c>
      <c r="E1362" s="1100">
        <v>1.0337689643332566</v>
      </c>
      <c r="F1362" s="1100">
        <v>0.96455755725397962</v>
      </c>
      <c r="G1362" s="1100">
        <v>0.99133017232274989</v>
      </c>
      <c r="H1362" s="1100">
        <v>1.0015539419473969</v>
      </c>
      <c r="I1362" s="1100">
        <v>1.0252421951700841</v>
      </c>
      <c r="K1362">
        <v>1.2833917229664846</v>
      </c>
      <c r="L1362">
        <v>0</v>
      </c>
      <c r="M1362">
        <v>5.6508071133820538E-4</v>
      </c>
      <c r="N1362">
        <v>5.7535467312635112E-2</v>
      </c>
      <c r="O1362">
        <v>7.8249518774930055E-3</v>
      </c>
      <c r="P1362">
        <v>1.6149475261560374E-2</v>
      </c>
      <c r="Q1362">
        <v>4.6854063434085392E-4</v>
      </c>
      <c r="R1362">
        <v>5.6341584275927724E-4</v>
      </c>
      <c r="S1362">
        <v>6.2663859713510101E-2</v>
      </c>
      <c r="T1362">
        <v>0.99483558999141353</v>
      </c>
      <c r="U1362">
        <v>0</v>
      </c>
      <c r="V1362">
        <v>9.7460565751091618E-2</v>
      </c>
      <c r="W1362">
        <v>3.7055656163082221E-2</v>
      </c>
      <c r="X1362">
        <v>7.8658489359295942E-3</v>
      </c>
      <c r="Y1362">
        <v>1.5334321940081031E-3</v>
      </c>
    </row>
    <row r="1363" spans="1:25" x14ac:dyDescent="0.25">
      <c r="A1363" s="1096"/>
      <c r="B1363" s="1455">
        <v>1113</v>
      </c>
      <c r="C1363" s="1100">
        <v>1.0007814000364303</v>
      </c>
      <c r="D1363" s="1100">
        <v>1.0032010596410659</v>
      </c>
      <c r="E1363" s="1100">
        <v>1.0004001557487636</v>
      </c>
      <c r="F1363" s="1100">
        <v>1.0062821754409164</v>
      </c>
      <c r="G1363" s="1100">
        <v>1.035771405125878</v>
      </c>
      <c r="H1363" s="1100">
        <v>0.96176562235975827</v>
      </c>
      <c r="I1363" s="1100">
        <v>1.0199560924106219</v>
      </c>
      <c r="K1363">
        <v>1.3202724888332453</v>
      </c>
      <c r="L1363">
        <v>0</v>
      </c>
      <c r="M1363">
        <v>5.76373275996992E-4</v>
      </c>
      <c r="N1363">
        <v>5.3057604061883187E-2</v>
      </c>
      <c r="O1363">
        <v>7.7460747765923498E-3</v>
      </c>
      <c r="P1363">
        <v>1.6355321344480565E-2</v>
      </c>
      <c r="Q1363">
        <v>4.4865942283680535E-4</v>
      </c>
      <c r="R1363">
        <v>5.7460488455259398E-4</v>
      </c>
      <c r="S1363">
        <v>6.043725767561519E-2</v>
      </c>
      <c r="T1363">
        <v>1.0388523987908103</v>
      </c>
      <c r="U1363">
        <v>0</v>
      </c>
      <c r="V1363">
        <v>9.9430905495382096E-2</v>
      </c>
      <c r="W1363">
        <v>3.4846951709890314E-2</v>
      </c>
      <c r="X1363">
        <v>7.5351988698949901E-3</v>
      </c>
      <c r="Y1363">
        <v>1.5638850773028754E-3</v>
      </c>
    </row>
    <row r="1364" spans="1:25" x14ac:dyDescent="0.25">
      <c r="A1364" s="1096"/>
      <c r="B1364" s="1455">
        <v>1114</v>
      </c>
      <c r="C1364" s="1100">
        <v>0.98179821085495234</v>
      </c>
      <c r="D1364" s="1100">
        <v>1.0276980131911682</v>
      </c>
      <c r="E1364" s="1100">
        <v>0.95557834887907256</v>
      </c>
      <c r="F1364" s="1100">
        <v>0.97031981068230799</v>
      </c>
      <c r="G1364" s="1100">
        <v>1.0331155832969763</v>
      </c>
      <c r="H1364" s="1100">
        <v>1.0099053948053975</v>
      </c>
      <c r="I1364" s="1100">
        <v>1.0385120972738284</v>
      </c>
      <c r="K1364">
        <v>1.2886309443444557</v>
      </c>
      <c r="L1364">
        <v>0</v>
      </c>
      <c r="M1364">
        <v>6.7031488270888155E-4</v>
      </c>
      <c r="N1364">
        <v>5.3886566771266735E-2</v>
      </c>
      <c r="O1364">
        <v>7.8089712074332638E-3</v>
      </c>
      <c r="P1364">
        <v>1.5377834193201585E-2</v>
      </c>
      <c r="Q1364">
        <v>4.3213650583266776E-4</v>
      </c>
      <c r="R1364">
        <v>6.6835629967495645E-4</v>
      </c>
      <c r="S1364">
        <v>6.3409136468039876E-2</v>
      </c>
      <c r="T1364">
        <v>1.0030492158514106</v>
      </c>
      <c r="U1364">
        <v>0</v>
      </c>
      <c r="V1364">
        <v>9.973087582639284E-2</v>
      </c>
      <c r="W1364">
        <v>3.6363957523053714E-2</v>
      </c>
      <c r="X1364">
        <v>6.7551630567353306E-3</v>
      </c>
      <c r="Y1364">
        <v>1.8190455241202572E-3</v>
      </c>
    </row>
    <row r="1365" spans="1:25" x14ac:dyDescent="0.25">
      <c r="A1365" s="1096"/>
      <c r="B1365" s="1455">
        <v>1115</v>
      </c>
      <c r="C1365" s="1100">
        <v>0.98752600113561817</v>
      </c>
      <c r="D1365" s="1100">
        <v>0.95375441149923523</v>
      </c>
      <c r="E1365" s="1100">
        <v>1.0144104481553613</v>
      </c>
      <c r="F1365" s="1100">
        <v>0.97697490351663063</v>
      </c>
      <c r="G1365" s="1100">
        <v>0.99694549186454651</v>
      </c>
      <c r="H1365" s="1100">
        <v>0.97838961940809421</v>
      </c>
      <c r="I1365" s="1100">
        <v>0.9979807669163272</v>
      </c>
      <c r="K1365">
        <v>1.2954786616883147</v>
      </c>
      <c r="L1365">
        <v>0</v>
      </c>
      <c r="M1365">
        <v>5.889547811911422E-4</v>
      </c>
      <c r="N1365">
        <v>5.6561553988855616E-2</v>
      </c>
      <c r="O1365">
        <v>8.013929980179987E-3</v>
      </c>
      <c r="P1365">
        <v>1.6105517396995245E-2</v>
      </c>
      <c r="Q1365">
        <v>4.7072990514945932E-4</v>
      </c>
      <c r="R1365">
        <v>5.871784909333409E-4</v>
      </c>
      <c r="S1365">
        <v>6.2122940391053205E-2</v>
      </c>
      <c r="T1365">
        <v>1.0081921419054662</v>
      </c>
      <c r="U1365">
        <v>0</v>
      </c>
      <c r="V1365">
        <v>9.790076057688217E-2</v>
      </c>
      <c r="W1365">
        <v>3.6841998923606158E-2</v>
      </c>
      <c r="X1365">
        <v>7.6727586214002542E-3</v>
      </c>
      <c r="Y1365">
        <v>1.5981062889830391E-3</v>
      </c>
    </row>
    <row r="1366" spans="1:25" x14ac:dyDescent="0.25">
      <c r="A1366" s="1096"/>
      <c r="B1366" s="1455">
        <v>1116</v>
      </c>
      <c r="C1366" s="1100">
        <v>0.98922521895009741</v>
      </c>
      <c r="D1366" s="1100">
        <v>1.0173896420438722</v>
      </c>
      <c r="E1366" s="1100">
        <v>0.99219903233213591</v>
      </c>
      <c r="F1366" s="1100">
        <v>0.99210980201754662</v>
      </c>
      <c r="G1366" s="1100">
        <v>0.97546901506797878</v>
      </c>
      <c r="H1366" s="1100">
        <v>1.0322338676182432</v>
      </c>
      <c r="I1366" s="1100">
        <v>1.0118493308267258</v>
      </c>
      <c r="K1366">
        <v>1.3113977016946958</v>
      </c>
      <c r="L1366">
        <v>0</v>
      </c>
      <c r="M1366">
        <v>6.3299577371646754E-4</v>
      </c>
      <c r="N1366">
        <v>5.6855469136724936E-2</v>
      </c>
      <c r="O1366">
        <v>7.7906449259650288E-3</v>
      </c>
      <c r="P1366">
        <v>1.6050683376408862E-2</v>
      </c>
      <c r="Q1366">
        <v>4.4752883377015344E-4</v>
      </c>
      <c r="R1366">
        <v>6.3118624064590039E-4</v>
      </c>
      <c r="S1366">
        <v>6.2377731905317084E-2</v>
      </c>
      <c r="T1366">
        <v>1.0244643886930047</v>
      </c>
      <c r="U1366">
        <v>0</v>
      </c>
      <c r="V1366">
        <v>9.6793838249159408E-2</v>
      </c>
      <c r="W1366">
        <v>3.7524290348361453E-2</v>
      </c>
      <c r="X1366">
        <v>7.3770548825028513E-3</v>
      </c>
      <c r="Y1366">
        <v>1.7178808765498316E-3</v>
      </c>
    </row>
    <row r="1367" spans="1:25" x14ac:dyDescent="0.25">
      <c r="A1367" s="1096"/>
      <c r="B1367" s="1455">
        <v>1117</v>
      </c>
      <c r="C1367" s="1100">
        <v>0.99733446748552368</v>
      </c>
      <c r="D1367" s="1100">
        <v>1.0251337359182509</v>
      </c>
      <c r="E1367" s="1100">
        <v>1.0030428761561072</v>
      </c>
      <c r="F1367" s="1100">
        <v>1.0061584564277362</v>
      </c>
      <c r="G1367" s="1100">
        <v>0.99085331776248564</v>
      </c>
      <c r="H1367" s="1100">
        <v>0.9748862147181141</v>
      </c>
      <c r="I1367" s="1100">
        <v>1.0103720614111145</v>
      </c>
      <c r="K1367">
        <v>1.3182124175677603</v>
      </c>
      <c r="L1367">
        <v>0</v>
      </c>
      <c r="M1367">
        <v>5.7802755169336097E-4</v>
      </c>
      <c r="N1367">
        <v>5.3638595003857974E-2</v>
      </c>
      <c r="O1367">
        <v>7.7065388031152563E-3</v>
      </c>
      <c r="P1367">
        <v>1.6347293587545664E-2</v>
      </c>
      <c r="Q1367">
        <v>4.475556484107631E-4</v>
      </c>
      <c r="R1367">
        <v>5.7627795306890541E-4</v>
      </c>
      <c r="S1367">
        <v>5.9784949600551723E-2</v>
      </c>
      <c r="T1367">
        <v>1.0386456664979875</v>
      </c>
      <c r="U1367">
        <v>0</v>
      </c>
      <c r="V1367">
        <v>9.7346436098939212E-2</v>
      </c>
      <c r="W1367">
        <v>3.5173317915376749E-2</v>
      </c>
      <c r="X1367">
        <v>7.5553753923219072E-3</v>
      </c>
      <c r="Y1367">
        <v>1.5684386182773869E-3</v>
      </c>
    </row>
    <row r="1368" spans="1:25" x14ac:dyDescent="0.25">
      <c r="A1368" s="1096"/>
      <c r="B1368" s="1455">
        <v>1118</v>
      </c>
      <c r="C1368" s="1100">
        <v>0.99160192905489852</v>
      </c>
      <c r="D1368" s="1100">
        <v>1.0054241935326576</v>
      </c>
      <c r="E1368" s="1100">
        <v>0.97874256841687468</v>
      </c>
      <c r="F1368" s="1100">
        <v>0.98554404364733439</v>
      </c>
      <c r="G1368" s="1100">
        <v>1.0177765543810366</v>
      </c>
      <c r="H1368" s="1100">
        <v>1.0218006012484693</v>
      </c>
      <c r="I1368" s="1100">
        <v>0.98517765329773621</v>
      </c>
      <c r="K1368">
        <v>1.3031889726474495</v>
      </c>
      <c r="L1368">
        <v>0</v>
      </c>
      <c r="M1368">
        <v>6.4579793134581409E-4</v>
      </c>
      <c r="N1368">
        <v>5.5690397966500015E-2</v>
      </c>
      <c r="O1368">
        <v>7.8055218326414958E-3</v>
      </c>
      <c r="P1368">
        <v>1.5805794914042274E-2</v>
      </c>
      <c r="Q1368">
        <v>4.4231093453046832E-4</v>
      </c>
      <c r="R1368">
        <v>6.439329507653118E-4</v>
      </c>
      <c r="S1368">
        <v>6.0642859873257439E-2</v>
      </c>
      <c r="T1368">
        <v>1.0180850057601958</v>
      </c>
      <c r="U1368">
        <v>0</v>
      </c>
      <c r="V1368">
        <v>9.8765351752171618E-2</v>
      </c>
      <c r="W1368">
        <v>3.7053915475340399E-2</v>
      </c>
      <c r="X1368">
        <v>7.1471058998066632E-3</v>
      </c>
      <c r="Y1368">
        <v>1.7525732195430084E-3</v>
      </c>
    </row>
    <row r="1369" spans="1:25" x14ac:dyDescent="0.25">
      <c r="A1369" s="1096"/>
      <c r="B1369" s="1455">
        <v>1119</v>
      </c>
      <c r="C1369" s="1100">
        <v>1.0329221991738848</v>
      </c>
      <c r="D1369" s="1100">
        <v>0.98646653292406461</v>
      </c>
      <c r="E1369" s="1100">
        <v>1.0387844474759107</v>
      </c>
      <c r="F1369" s="1100">
        <v>0.99609262059262749</v>
      </c>
      <c r="G1369" s="1100">
        <v>0.97995115167362101</v>
      </c>
      <c r="H1369" s="1100">
        <v>1.0046542882417111</v>
      </c>
      <c r="I1369" s="1100">
        <v>0.98997430292099975</v>
      </c>
      <c r="K1369">
        <v>1.3079855584807754</v>
      </c>
      <c r="L1369">
        <v>0</v>
      </c>
      <c r="M1369">
        <v>5.422041193754619E-4</v>
      </c>
      <c r="N1369">
        <v>5.6047371281943634E-2</v>
      </c>
      <c r="O1369">
        <v>7.5649138425217194E-3</v>
      </c>
      <c r="P1369">
        <v>1.6585688777800211E-2</v>
      </c>
      <c r="Q1369">
        <v>4.5521414012437256E-4</v>
      </c>
      <c r="R1369">
        <v>5.406115806975304E-4</v>
      </c>
      <c r="S1369">
        <v>5.8651638347269906E-2</v>
      </c>
      <c r="T1369">
        <v>1.0272172244012809</v>
      </c>
      <c r="U1369">
        <v>0</v>
      </c>
      <c r="V1369">
        <v>9.6002356450194337E-2</v>
      </c>
      <c r="W1369">
        <v>3.5992824435604857E-2</v>
      </c>
      <c r="X1369">
        <v>7.998552832615408E-3</v>
      </c>
      <c r="Y1369">
        <v>1.4713665100989967E-3</v>
      </c>
    </row>
    <row r="1370" spans="1:25" x14ac:dyDescent="0.25">
      <c r="A1370" s="1096"/>
      <c r="B1370" s="1455">
        <v>1120</v>
      </c>
      <c r="C1370" s="1100">
        <v>0.95698488384028346</v>
      </c>
      <c r="D1370" s="1100">
        <v>1.0064717847059526</v>
      </c>
      <c r="E1370" s="1100">
        <v>0.99643612871177312</v>
      </c>
      <c r="F1370" s="1100">
        <v>0.98393284956589588</v>
      </c>
      <c r="G1370" s="1100">
        <v>0.98548615361515113</v>
      </c>
      <c r="H1370" s="1100">
        <v>1.0116868730267365</v>
      </c>
      <c r="I1370" s="1100">
        <v>0.96832289831547058</v>
      </c>
      <c r="K1370">
        <v>1.3055154400370663</v>
      </c>
      <c r="L1370">
        <v>0</v>
      </c>
      <c r="M1370">
        <v>6.3843921482197518E-4</v>
      </c>
      <c r="N1370">
        <v>5.8080120370775354E-2</v>
      </c>
      <c r="O1370">
        <v>8.089020748252922E-3</v>
      </c>
      <c r="P1370">
        <v>1.5990497473582069E-2</v>
      </c>
      <c r="Q1370">
        <v>4.6665838067212875E-4</v>
      </c>
      <c r="R1370">
        <v>6.3657705368713128E-4</v>
      </c>
      <c r="S1370">
        <v>6.1433010324937309E-2</v>
      </c>
      <c r="T1370">
        <v>1.0158959725426426</v>
      </c>
      <c r="U1370">
        <v>0</v>
      </c>
      <c r="V1370">
        <v>9.8127095870648176E-2</v>
      </c>
      <c r="W1370">
        <v>3.823570869121419E-2</v>
      </c>
      <c r="X1370">
        <v>7.4666649029100345E-3</v>
      </c>
      <c r="Y1370">
        <v>1.7325528925670212E-3</v>
      </c>
    </row>
    <row r="1371" spans="1:25" x14ac:dyDescent="0.25">
      <c r="A1371" s="1096"/>
      <c r="B1371" s="1455">
        <v>1121</v>
      </c>
      <c r="C1371" s="1100">
        <v>0.95313341631823889</v>
      </c>
      <c r="D1371" s="1100">
        <v>1.0384050952300463</v>
      </c>
      <c r="E1371" s="1100">
        <v>0.97689896927524744</v>
      </c>
      <c r="F1371" s="1100">
        <v>1.0113168030282607</v>
      </c>
      <c r="G1371" s="1100">
        <v>1.0294159176183053</v>
      </c>
      <c r="H1371" s="1100">
        <v>1.0007193228444986</v>
      </c>
      <c r="I1371" s="1100">
        <v>1.0185129510877176</v>
      </c>
      <c r="K1371">
        <v>1.3354281264375882</v>
      </c>
      <c r="L1371">
        <v>0</v>
      </c>
      <c r="M1371">
        <v>6.5204036664298854E-4</v>
      </c>
      <c r="N1371">
        <v>5.5912476455893194E-2</v>
      </c>
      <c r="O1371">
        <v>8.0159199161110757E-3</v>
      </c>
      <c r="P1371">
        <v>1.6199676032869762E-2</v>
      </c>
      <c r="Q1371">
        <v>4.5338204893669926E-4</v>
      </c>
      <c r="R1371">
        <v>6.5011769103941891E-4</v>
      </c>
      <c r="S1371">
        <v>6.3430907586266558E-2</v>
      </c>
      <c r="T1371">
        <v>1.0447654691715356</v>
      </c>
      <c r="U1371">
        <v>0</v>
      </c>
      <c r="V1371">
        <v>0.10033462256361235</v>
      </c>
      <c r="W1371">
        <v>3.7243184599579295E-2</v>
      </c>
      <c r="X1371">
        <v>7.3050046946165582E-3</v>
      </c>
      <c r="Y1371">
        <v>1.7694060437700447E-3</v>
      </c>
    </row>
    <row r="1372" spans="1:25" x14ac:dyDescent="0.25">
      <c r="A1372" s="1096"/>
      <c r="B1372" s="1455">
        <v>1122</v>
      </c>
      <c r="C1372" s="1100">
        <v>0.97462992758763711</v>
      </c>
      <c r="D1372" s="1100">
        <v>1.013622571543694</v>
      </c>
      <c r="E1372" s="1100">
        <v>0.99594129964082345</v>
      </c>
      <c r="F1372" s="1100">
        <v>1.0140292000596274</v>
      </c>
      <c r="G1372" s="1100">
        <v>1.0332956028934197</v>
      </c>
      <c r="H1372" s="1100">
        <v>0.99093305971127921</v>
      </c>
      <c r="I1372" s="1100">
        <v>1.0092052379732983</v>
      </c>
      <c r="K1372">
        <v>1.3353114214409116</v>
      </c>
      <c r="L1372">
        <v>0</v>
      </c>
      <c r="M1372">
        <v>6.1291285816184179E-4</v>
      </c>
      <c r="N1372">
        <v>5.5671206247335257E-2</v>
      </c>
      <c r="O1372">
        <v>7.9199898278756262E-3</v>
      </c>
      <c r="P1372">
        <v>1.6439785079391599E-2</v>
      </c>
      <c r="Q1372">
        <v>4.5667924371823649E-4</v>
      </c>
      <c r="R1372">
        <v>6.1108770954729772E-4</v>
      </c>
      <c r="S1372">
        <v>6.1976635762634374E-2</v>
      </c>
      <c r="T1372">
        <v>1.0469849972305465</v>
      </c>
      <c r="U1372">
        <v>0</v>
      </c>
      <c r="V1372">
        <v>9.9970532688805958E-2</v>
      </c>
      <c r="W1372">
        <v>3.6660668381155101E-2</v>
      </c>
      <c r="X1372">
        <v>7.5695728276849554E-3</v>
      </c>
      <c r="Y1372">
        <v>1.6631793003784319E-3</v>
      </c>
    </row>
    <row r="1373" spans="1:25" x14ac:dyDescent="0.25">
      <c r="A1373" s="1096"/>
      <c r="B1373" s="1455">
        <v>1123</v>
      </c>
      <c r="C1373" s="1100">
        <v>0.98426218172673785</v>
      </c>
      <c r="D1373" s="1100">
        <v>1.0087379844075612</v>
      </c>
      <c r="E1373" s="1100">
        <v>0.96208517628587686</v>
      </c>
      <c r="F1373" s="1100">
        <v>0.98567351593606045</v>
      </c>
      <c r="G1373" s="1100">
        <v>1.0124737421163852</v>
      </c>
      <c r="H1373" s="1100">
        <v>1.0086351708884607</v>
      </c>
      <c r="I1373" s="1100">
        <v>1.0279819635957943</v>
      </c>
      <c r="K1373">
        <v>1.3042669803829448</v>
      </c>
      <c r="L1373">
        <v>0</v>
      </c>
      <c r="M1373">
        <v>6.6382756033422214E-4</v>
      </c>
      <c r="N1373">
        <v>5.4427553540329757E-2</v>
      </c>
      <c r="O1373">
        <v>7.8492650438718968E-3</v>
      </c>
      <c r="P1373">
        <v>1.5646508838284019E-2</v>
      </c>
      <c r="Q1373">
        <v>4.3728287939057728E-4</v>
      </c>
      <c r="R1373">
        <v>6.6188548984176272E-4</v>
      </c>
      <c r="S1373">
        <v>6.3202334634263821E-2</v>
      </c>
      <c r="T1373">
        <v>1.0187219954284585</v>
      </c>
      <c r="U1373">
        <v>0</v>
      </c>
      <c r="V1373">
        <v>9.86766323162864E-2</v>
      </c>
      <c r="W1373">
        <v>3.6582566830148794E-2</v>
      </c>
      <c r="X1373">
        <v>6.9233488295471256E-3</v>
      </c>
      <c r="Y1373">
        <v>1.801434112856191E-3</v>
      </c>
    </row>
    <row r="1374" spans="1:25" x14ac:dyDescent="0.25">
      <c r="A1374" s="1096"/>
      <c r="B1374" s="1455">
        <v>1124</v>
      </c>
      <c r="C1374" s="1100">
        <v>0.97959210994275125</v>
      </c>
      <c r="D1374" s="1100">
        <v>1.0268009071219082</v>
      </c>
      <c r="E1374" s="1100">
        <v>0.99497629102282992</v>
      </c>
      <c r="F1374" s="1100">
        <v>0.99499366726356187</v>
      </c>
      <c r="G1374" s="1100">
        <v>1.0048671942385861</v>
      </c>
      <c r="H1374" s="1100">
        <v>1.0285565115284074</v>
      </c>
      <c r="I1374" s="1100">
        <v>1.0047771836788137</v>
      </c>
      <c r="K1374">
        <v>1.3163576652629354</v>
      </c>
      <c r="L1374">
        <v>0</v>
      </c>
      <c r="M1374">
        <v>6.3095991877146955E-4</v>
      </c>
      <c r="N1374">
        <v>5.7149772754206983E-2</v>
      </c>
      <c r="O1374">
        <v>7.8390214607928829E-3</v>
      </c>
      <c r="P1374">
        <v>1.6142905545238694E-2</v>
      </c>
      <c r="Q1374">
        <v>4.5157113497860604E-4</v>
      </c>
      <c r="R1374">
        <v>6.2914975681882838E-4</v>
      </c>
      <c r="S1374">
        <v>6.2133168542255424E-2</v>
      </c>
      <c r="T1374">
        <v>1.0273595222536593</v>
      </c>
      <c r="U1374">
        <v>0</v>
      </c>
      <c r="V1374">
        <v>9.8465408997979745E-2</v>
      </c>
      <c r="W1374">
        <v>3.7656004647023525E-2</v>
      </c>
      <c r="X1374">
        <v>7.4497618498520169E-3</v>
      </c>
      <c r="Y1374">
        <v>1.7123382388992555E-3</v>
      </c>
    </row>
    <row r="1375" spans="1:25" x14ac:dyDescent="0.25">
      <c r="A1375" s="1096"/>
      <c r="B1375" s="1455">
        <v>1125</v>
      </c>
      <c r="C1375" s="1100">
        <v>1.0162591982185447</v>
      </c>
      <c r="D1375" s="1100">
        <v>1.002999631322028</v>
      </c>
      <c r="E1375" s="1100">
        <v>1.0297564534046721</v>
      </c>
      <c r="F1375" s="1100">
        <v>1.0176431343476127</v>
      </c>
      <c r="G1375" s="1100">
        <v>0.99307914355623561</v>
      </c>
      <c r="H1375" s="1100">
        <v>0.97997156156494314</v>
      </c>
      <c r="I1375" s="1100">
        <v>1.0324313055916898</v>
      </c>
      <c r="K1375">
        <v>1.3320303734505297</v>
      </c>
      <c r="L1375">
        <v>0</v>
      </c>
      <c r="M1375">
        <v>5.4414001574342732E-4</v>
      </c>
      <c r="N1375">
        <v>5.4733725777038757E-2</v>
      </c>
      <c r="O1375">
        <v>7.6358122597433983E-3</v>
      </c>
      <c r="P1375">
        <v>1.6835971766435229E-2</v>
      </c>
      <c r="Q1375">
        <v>4.5540687508206058E-4</v>
      </c>
      <c r="R1375">
        <v>5.4250153624959402E-4</v>
      </c>
      <c r="S1375">
        <v>6.0844216999660188E-2</v>
      </c>
      <c r="T1375">
        <v>1.0497052490794634</v>
      </c>
      <c r="U1375">
        <v>0</v>
      </c>
      <c r="V1375">
        <v>9.7021127552459008E-2</v>
      </c>
      <c r="W1375">
        <v>3.5333285385287592E-2</v>
      </c>
      <c r="X1375">
        <v>7.990705888765267E-3</v>
      </c>
      <c r="Y1375">
        <v>1.4765103460880331E-3</v>
      </c>
    </row>
    <row r="1376" spans="1:25" x14ac:dyDescent="0.25">
      <c r="A1376" s="1096"/>
      <c r="B1376" s="1455">
        <v>1126</v>
      </c>
      <c r="C1376" s="1100">
        <v>1.0262417510706332</v>
      </c>
      <c r="D1376" s="1100">
        <v>1.0060793900578839</v>
      </c>
      <c r="E1376" s="1100">
        <v>0.9969903013941066</v>
      </c>
      <c r="F1376" s="1100">
        <v>1.0094067810862799</v>
      </c>
      <c r="G1376" s="1100">
        <v>0.96477965521060238</v>
      </c>
      <c r="H1376" s="1100">
        <v>1.0254806138285248</v>
      </c>
      <c r="I1376" s="1100">
        <v>0.95711145978103562</v>
      </c>
      <c r="K1376">
        <v>1.3189932211497515</v>
      </c>
      <c r="L1376">
        <v>0</v>
      </c>
      <c r="M1376">
        <v>6.0287192151658629E-4</v>
      </c>
      <c r="N1376">
        <v>5.493857651215206E-2</v>
      </c>
      <c r="O1376">
        <v>7.5444345815807766E-3</v>
      </c>
      <c r="P1376">
        <v>1.6257415063263007E-2</v>
      </c>
      <c r="Q1376">
        <v>4.3548397530640017E-4</v>
      </c>
      <c r="R1376">
        <v>6.0113715344264006E-4</v>
      </c>
      <c r="S1376">
        <v>5.7028044546391772E-2</v>
      </c>
      <c r="T1376">
        <v>1.0421807214179823</v>
      </c>
      <c r="U1376">
        <v>0</v>
      </c>
      <c r="V1376">
        <v>9.5378437343011213E-2</v>
      </c>
      <c r="W1376">
        <v>3.6155604203416888E-2</v>
      </c>
      <c r="X1376">
        <v>7.4401411078593369E-3</v>
      </c>
      <c r="Y1376">
        <v>1.6360971668614923E-3</v>
      </c>
    </row>
    <row r="1377" spans="1:25" x14ac:dyDescent="0.25">
      <c r="A1377" s="1096"/>
      <c r="B1377" s="1455">
        <v>1127</v>
      </c>
      <c r="C1377" s="1100">
        <v>1.0014567604828495</v>
      </c>
      <c r="D1377" s="1100">
        <v>1.0100902291844047</v>
      </c>
      <c r="E1377" s="1100">
        <v>1.0148630592017058</v>
      </c>
      <c r="F1377" s="1100">
        <v>0.98291317995150185</v>
      </c>
      <c r="G1377" s="1100">
        <v>1.0217100886881494</v>
      </c>
      <c r="H1377" s="1100">
        <v>1.0039308581109965</v>
      </c>
      <c r="I1377" s="1100">
        <v>0.99708141475872158</v>
      </c>
      <c r="K1377">
        <v>1.2991476711242047</v>
      </c>
      <c r="L1377">
        <v>0</v>
      </c>
      <c r="M1377">
        <v>5.818514953063415E-4</v>
      </c>
      <c r="N1377">
        <v>5.5960062529384076E-2</v>
      </c>
      <c r="O1377">
        <v>7.7232245789905065E-3</v>
      </c>
      <c r="P1377">
        <v>1.6179232264878919E-2</v>
      </c>
      <c r="Q1377">
        <v>4.5385894911047588E-4</v>
      </c>
      <c r="R1377">
        <v>5.8014127456327723E-4</v>
      </c>
      <c r="S1377">
        <v>6.0115462145227228E-2</v>
      </c>
      <c r="T1377">
        <v>1.0143071156259311</v>
      </c>
      <c r="U1377">
        <v>0</v>
      </c>
      <c r="V1377">
        <v>9.8750242272758373E-2</v>
      </c>
      <c r="W1377">
        <v>3.644051916150999E-2</v>
      </c>
      <c r="X1377">
        <v>7.640710511313647E-3</v>
      </c>
      <c r="Y1377">
        <v>1.5789533058414786E-3</v>
      </c>
    </row>
    <row r="1378" spans="1:25" x14ac:dyDescent="0.25">
      <c r="A1378" s="1096"/>
      <c r="B1378" s="1455">
        <v>1128</v>
      </c>
      <c r="C1378" s="1100">
        <v>0.96147251134766332</v>
      </c>
      <c r="D1378" s="1100">
        <v>1.0046355968294538</v>
      </c>
      <c r="E1378" s="1100">
        <v>1.0164951113392506</v>
      </c>
      <c r="F1378" s="1100">
        <v>1.0416755537209528</v>
      </c>
      <c r="G1378" s="1100">
        <v>1.0143449550391819</v>
      </c>
      <c r="H1378" s="1100">
        <v>1.0033540790878495</v>
      </c>
      <c r="I1378" s="1100">
        <v>1.0294815114700104</v>
      </c>
      <c r="K1378">
        <v>1.3710069840638459</v>
      </c>
      <c r="L1378">
        <v>0</v>
      </c>
      <c r="M1378">
        <v>6.0495734419713633E-4</v>
      </c>
      <c r="N1378">
        <v>5.8469449051108076E-2</v>
      </c>
      <c r="O1378">
        <v>8.0622654999441996E-3</v>
      </c>
      <c r="P1378">
        <v>1.7109528262093394E-2</v>
      </c>
      <c r="Q1378">
        <v>4.745540180835477E-4</v>
      </c>
      <c r="R1378">
        <v>6.0317818687962788E-4</v>
      </c>
      <c r="S1378">
        <v>6.4820877421747802E-2</v>
      </c>
      <c r="T1378">
        <v>1.0748965306903746</v>
      </c>
      <c r="U1378">
        <v>0</v>
      </c>
      <c r="V1378">
        <v>9.9425151979280355E-2</v>
      </c>
      <c r="W1378">
        <v>3.8038140104824772E-2</v>
      </c>
      <c r="X1378">
        <v>8.0706140066553744E-3</v>
      </c>
      <c r="Y1378">
        <v>1.6416521870504812E-3</v>
      </c>
    </row>
    <row r="1379" spans="1:25" x14ac:dyDescent="0.25">
      <c r="A1379" s="1096"/>
      <c r="B1379" s="1455">
        <v>1129</v>
      </c>
      <c r="C1379" s="1100">
        <v>1.0087036639199694</v>
      </c>
      <c r="D1379" s="1100">
        <v>0.95887704534566442</v>
      </c>
      <c r="E1379" s="1100">
        <v>0.99626655564659805</v>
      </c>
      <c r="F1379" s="1100">
        <v>1.0337589405757701</v>
      </c>
      <c r="G1379" s="1100">
        <v>1.0212763178951996</v>
      </c>
      <c r="H1379" s="1100">
        <v>1.0098483928390818</v>
      </c>
      <c r="I1379" s="1100">
        <v>0.98153590911233979</v>
      </c>
      <c r="K1379">
        <v>1.3537082129278721</v>
      </c>
      <c r="L1379">
        <v>0</v>
      </c>
      <c r="M1379">
        <v>6.1665072420928569E-4</v>
      </c>
      <c r="N1379">
        <v>5.6068937967490295E-2</v>
      </c>
      <c r="O1379">
        <v>7.824391522989551E-3</v>
      </c>
      <c r="P1379">
        <v>1.6682072659443502E-2</v>
      </c>
      <c r="Q1379">
        <v>4.5131474056916797E-4</v>
      </c>
      <c r="R1379">
        <v>6.1484883997421831E-4</v>
      </c>
      <c r="S1379">
        <v>6.0577034238239305E-2</v>
      </c>
      <c r="T1379">
        <v>1.067345904197982</v>
      </c>
      <c r="U1379">
        <v>0</v>
      </c>
      <c r="V1379">
        <v>9.8530561492357435E-2</v>
      </c>
      <c r="W1379">
        <v>3.6915424174059103E-2</v>
      </c>
      <c r="X1379">
        <v>7.6409579614318806E-3</v>
      </c>
      <c r="Y1379">
        <v>1.6734158575441975E-3</v>
      </c>
    </row>
    <row r="1380" spans="1:25" x14ac:dyDescent="0.25">
      <c r="A1380" s="1096"/>
      <c r="B1380" s="1455">
        <v>1130</v>
      </c>
      <c r="C1380" s="1100">
        <v>0.99717084007333467</v>
      </c>
      <c r="D1380" s="1100">
        <v>1.0120550628424456</v>
      </c>
      <c r="E1380" s="1100">
        <v>0.9997077891650199</v>
      </c>
      <c r="F1380" s="1100">
        <v>1.0147229700852809</v>
      </c>
      <c r="G1380" s="1100">
        <v>0.9929393145334966</v>
      </c>
      <c r="H1380" s="1100">
        <v>1.0018830683518358</v>
      </c>
      <c r="I1380" s="1100">
        <v>0.98703339864262751</v>
      </c>
      <c r="K1380">
        <v>1.3300300125602782</v>
      </c>
      <c r="L1380">
        <v>0</v>
      </c>
      <c r="M1380">
        <v>6.0133785714968572E-4</v>
      </c>
      <c r="N1380">
        <v>5.524683604280279E-2</v>
      </c>
      <c r="O1380">
        <v>7.7466755470222172E-3</v>
      </c>
      <c r="P1380">
        <v>1.6427873666704836E-2</v>
      </c>
      <c r="Q1380">
        <v>4.4838206808091535E-4</v>
      </c>
      <c r="R1380">
        <v>5.9956674799923487E-4</v>
      </c>
      <c r="S1380">
        <v>5.962703721652933E-2</v>
      </c>
      <c r="T1380">
        <v>1.0475873063370904</v>
      </c>
      <c r="U1380">
        <v>0</v>
      </c>
      <c r="V1380">
        <v>9.7447710019915645E-2</v>
      </c>
      <c r="W1380">
        <v>3.6299720150636233E-2</v>
      </c>
      <c r="X1380">
        <v>7.5684195797175767E-3</v>
      </c>
      <c r="Y1380">
        <v>1.6318230409285582E-3</v>
      </c>
    </row>
    <row r="1381" spans="1:25" x14ac:dyDescent="0.25">
      <c r="A1381" s="1096"/>
      <c r="B1381" s="1455">
        <v>1131</v>
      </c>
      <c r="C1381" s="1100">
        <v>1.0334726871350666</v>
      </c>
      <c r="D1381" s="1100">
        <v>1.0138091922994563</v>
      </c>
      <c r="E1381" s="1100">
        <v>0.96824980385753889</v>
      </c>
      <c r="F1381" s="1100">
        <v>0.99387396477311218</v>
      </c>
      <c r="G1381" s="1100">
        <v>0.99742129498843757</v>
      </c>
      <c r="H1381" s="1100">
        <v>0.97345969803464771</v>
      </c>
      <c r="I1381" s="1100">
        <v>1.0014839510041129</v>
      </c>
      <c r="K1381">
        <v>1.2972460633584209</v>
      </c>
      <c r="L1381">
        <v>0</v>
      </c>
      <c r="M1381">
        <v>6.0125269044188296E-4</v>
      </c>
      <c r="N1381">
        <v>5.0220826663618053E-2</v>
      </c>
      <c r="O1381">
        <v>7.4619773836420086E-3</v>
      </c>
      <c r="P1381">
        <v>1.5729154667551197E-2</v>
      </c>
      <c r="Q1381">
        <v>4.1834171368398655E-4</v>
      </c>
      <c r="R1381">
        <v>5.9943012607546872E-4</v>
      </c>
      <c r="S1381">
        <v>5.7455200320157711E-2</v>
      </c>
      <c r="T1381">
        <v>1.0270086386798358</v>
      </c>
      <c r="U1381">
        <v>0</v>
      </c>
      <c r="V1381">
        <v>9.6757100738029039E-2</v>
      </c>
      <c r="W1381">
        <v>3.3628188690763221E-2</v>
      </c>
      <c r="X1381">
        <v>6.9370058644185511E-3</v>
      </c>
      <c r="Y1381">
        <v>1.6314512010894718E-3</v>
      </c>
    </row>
    <row r="1382" spans="1:25" x14ac:dyDescent="0.25">
      <c r="A1382" s="1096"/>
      <c r="B1382" s="1455">
        <v>1132</v>
      </c>
      <c r="C1382" s="1100">
        <v>1.0064552304908767</v>
      </c>
      <c r="D1382" s="1100">
        <v>0.9893337607091226</v>
      </c>
      <c r="E1382" s="1100">
        <v>0.97850109051302059</v>
      </c>
      <c r="F1382" s="1100">
        <v>0.97112908641794504</v>
      </c>
      <c r="G1382" s="1100">
        <v>1.0104937843531112</v>
      </c>
      <c r="H1382" s="1100">
        <v>0.99368687223799423</v>
      </c>
      <c r="I1382" s="1100">
        <v>0.97441690713922069</v>
      </c>
      <c r="K1382">
        <v>1.2819114985475326</v>
      </c>
      <c r="L1382">
        <v>0</v>
      </c>
      <c r="M1382">
        <v>6.2307791304714406E-4</v>
      </c>
      <c r="N1382">
        <v>5.368748991535667E-2</v>
      </c>
      <c r="O1382">
        <v>7.7400566246414422E-3</v>
      </c>
      <c r="P1382">
        <v>1.5568360727937903E-2</v>
      </c>
      <c r="Q1382">
        <v>4.384935373027724E-4</v>
      </c>
      <c r="R1382">
        <v>6.2122763659121433E-4</v>
      </c>
      <c r="S1382">
        <v>5.8772848060519065E-2</v>
      </c>
      <c r="T1382">
        <v>1.003201221482811</v>
      </c>
      <c r="U1382">
        <v>0</v>
      </c>
      <c r="V1382">
        <v>9.8044097718453405E-2</v>
      </c>
      <c r="W1382">
        <v>3.5726484076032787E-2</v>
      </c>
      <c r="X1382">
        <v>7.0435198417658721E-3</v>
      </c>
      <c r="Y1382">
        <v>1.6907768391659205E-3</v>
      </c>
    </row>
    <row r="1383" spans="1:25" x14ac:dyDescent="0.25">
      <c r="A1383" s="1096"/>
      <c r="B1383" s="1455">
        <v>1133</v>
      </c>
      <c r="C1383" s="1100">
        <v>0.98196969853101079</v>
      </c>
      <c r="D1383" s="1100">
        <v>1.000806701404924</v>
      </c>
      <c r="E1383" s="1100">
        <v>0.98353229767230432</v>
      </c>
      <c r="F1383" s="1100">
        <v>1.0026782867113335</v>
      </c>
      <c r="G1383" s="1100">
        <v>0.9885696886939096</v>
      </c>
      <c r="H1383" s="1100">
        <v>0.98014148165261838</v>
      </c>
      <c r="I1383" s="1100">
        <v>1.022459898017346</v>
      </c>
      <c r="K1383">
        <v>1.3193864026679463</v>
      </c>
      <c r="L1383">
        <v>0</v>
      </c>
      <c r="M1383">
        <v>6.2052045572993681E-4</v>
      </c>
      <c r="N1383">
        <v>5.4284972164411721E-2</v>
      </c>
      <c r="O1383">
        <v>7.8978066182907453E-3</v>
      </c>
      <c r="P1383">
        <v>1.6107751446080912E-2</v>
      </c>
      <c r="Q1383">
        <v>4.497230581349545E-4</v>
      </c>
      <c r="R1383">
        <v>6.1865230828058511E-4</v>
      </c>
      <c r="S1383">
        <v>6.2392947043013243E-2</v>
      </c>
      <c r="T1383">
        <v>1.0356393366674463</v>
      </c>
      <c r="U1383">
        <v>0</v>
      </c>
      <c r="V1383">
        <v>9.7603005516601338E-2</v>
      </c>
      <c r="W1383">
        <v>3.6014591280042849E-2</v>
      </c>
      <c r="X1383">
        <v>7.3143693769132136E-3</v>
      </c>
      <c r="Y1383">
        <v>1.6837676444611377E-3</v>
      </c>
    </row>
    <row r="1384" spans="1:25" x14ac:dyDescent="0.25">
      <c r="A1384" s="1096"/>
      <c r="B1384" s="1455">
        <v>1134</v>
      </c>
      <c r="C1384" s="1100">
        <v>1.0210186119081623</v>
      </c>
      <c r="D1384" s="1100">
        <v>1.0321949119259699</v>
      </c>
      <c r="E1384" s="1100">
        <v>1.0089508164005925</v>
      </c>
      <c r="F1384" s="1100">
        <v>1.0318506795797886</v>
      </c>
      <c r="G1384" s="1100">
        <v>1.0058419989992726</v>
      </c>
      <c r="H1384" s="1100">
        <v>0.99054870478332757</v>
      </c>
      <c r="I1384" s="1100">
        <v>0.99789830651250944</v>
      </c>
      <c r="K1384">
        <v>1.3426508783262081</v>
      </c>
      <c r="L1384">
        <v>0</v>
      </c>
      <c r="M1384">
        <v>5.65142515077549E-4</v>
      </c>
      <c r="N1384">
        <v>5.3389525486013174E-2</v>
      </c>
      <c r="O1384">
        <v>7.5085360138952978E-3</v>
      </c>
      <c r="P1384">
        <v>1.6757460620706922E-2</v>
      </c>
      <c r="Q1384">
        <v>4.3864529823381903E-4</v>
      </c>
      <c r="R1384">
        <v>5.6345896529128513E-4</v>
      </c>
      <c r="S1384">
        <v>5.7931940585689838E-2</v>
      </c>
      <c r="T1384">
        <v>1.0649870864469879</v>
      </c>
      <c r="U1384">
        <v>0</v>
      </c>
      <c r="V1384">
        <v>9.7501684018204082E-2</v>
      </c>
      <c r="W1384">
        <v>3.4887852619073852E-2</v>
      </c>
      <c r="X1384">
        <v>7.7162812278648027E-3</v>
      </c>
      <c r="Y1384">
        <v>1.5335495593248897E-3</v>
      </c>
    </row>
    <row r="1385" spans="1:25" x14ac:dyDescent="0.25">
      <c r="A1385" s="1096"/>
      <c r="B1385" s="1455">
        <v>1135</v>
      </c>
      <c r="C1385" s="1100">
        <v>0.98531796649967884</v>
      </c>
      <c r="D1385" s="1100">
        <v>0.96904638082721783</v>
      </c>
      <c r="E1385" s="1100">
        <v>0.98586456226797958</v>
      </c>
      <c r="F1385" s="1100">
        <v>1.0031354576777107</v>
      </c>
      <c r="G1385" s="1100">
        <v>1.015930775485266</v>
      </c>
      <c r="H1385" s="1100">
        <v>1.0250819991447104</v>
      </c>
      <c r="I1385" s="1100">
        <v>1.0316941805685258</v>
      </c>
      <c r="K1385">
        <v>1.3294870588234899</v>
      </c>
      <c r="L1385">
        <v>0</v>
      </c>
      <c r="M1385">
        <v>6.5200942876538306E-4</v>
      </c>
      <c r="N1385">
        <v>5.7451118037480466E-2</v>
      </c>
      <c r="O1385">
        <v>7.9737461767509597E-3</v>
      </c>
      <c r="P1385">
        <v>1.6197586520743001E-2</v>
      </c>
      <c r="Q1385">
        <v>4.5512205242138876E-4</v>
      </c>
      <c r="R1385">
        <v>6.5013253761197327E-4</v>
      </c>
      <c r="S1385">
        <v>6.529804520715092E-2</v>
      </c>
      <c r="T1385">
        <v>1.0360408293817764</v>
      </c>
      <c r="U1385">
        <v>0</v>
      </c>
      <c r="V1385">
        <v>9.8843378354146194E-2</v>
      </c>
      <c r="W1385">
        <v>3.8061685958921398E-2</v>
      </c>
      <c r="X1385">
        <v>7.3979775740054031E-3</v>
      </c>
      <c r="Y1385">
        <v>1.7694464512463658E-3</v>
      </c>
    </row>
    <row r="1386" spans="1:25" x14ac:dyDescent="0.25">
      <c r="A1386" s="1096"/>
      <c r="B1386" s="1455">
        <v>1136</v>
      </c>
      <c r="C1386" s="1100">
        <v>1.0255953791127659</v>
      </c>
      <c r="D1386" s="1100">
        <v>1.0110107550623262</v>
      </c>
      <c r="E1386" s="1100">
        <v>0.97907444747821859</v>
      </c>
      <c r="F1386" s="1100">
        <v>0.99724392677801665</v>
      </c>
      <c r="G1386" s="1100">
        <v>1.0124434183718505</v>
      </c>
      <c r="H1386" s="1100">
        <v>0.985099705040967</v>
      </c>
      <c r="I1386" s="1100">
        <v>0.9762405096490504</v>
      </c>
      <c r="K1386">
        <v>1.3035888050968572</v>
      </c>
      <c r="L1386">
        <v>0</v>
      </c>
      <c r="M1386">
        <v>6.0022133700405526E-4</v>
      </c>
      <c r="N1386">
        <v>5.180651412552114E-2</v>
      </c>
      <c r="O1386">
        <v>7.530177588281152E-3</v>
      </c>
      <c r="P1386">
        <v>1.5906614202939203E-2</v>
      </c>
      <c r="Q1386">
        <v>4.2685221295626419E-4</v>
      </c>
      <c r="R1386">
        <v>5.9842339756436668E-4</v>
      </c>
      <c r="S1386">
        <v>5.6867682125656488E-2</v>
      </c>
      <c r="T1386">
        <v>1.0301611390053371</v>
      </c>
      <c r="U1386">
        <v>0</v>
      </c>
      <c r="V1386">
        <v>9.7679647821519111E-2</v>
      </c>
      <c r="W1386">
        <v>3.4462838900833258E-2</v>
      </c>
      <c r="X1386">
        <v>7.1204258353023686E-3</v>
      </c>
      <c r="Y1386">
        <v>1.6287112179502173E-3</v>
      </c>
    </row>
    <row r="1387" spans="1:25" x14ac:dyDescent="0.25">
      <c r="A1387" s="1096"/>
      <c r="B1387" s="1455">
        <v>1137</v>
      </c>
      <c r="C1387" s="1100">
        <v>1.0361938344496404</v>
      </c>
      <c r="D1387" s="1100">
        <v>1.0053569826833861</v>
      </c>
      <c r="E1387" s="1100">
        <v>1.0078032254485332</v>
      </c>
      <c r="F1387" s="1100">
        <v>1.0409371701408292</v>
      </c>
      <c r="G1387" s="1100">
        <v>0.99449902120238887</v>
      </c>
      <c r="H1387" s="1100">
        <v>0.98692794889569446</v>
      </c>
      <c r="I1387" s="1100">
        <v>1.0065566878642591</v>
      </c>
      <c r="K1387">
        <v>1.3508325725302364</v>
      </c>
      <c r="L1387">
        <v>0</v>
      </c>
      <c r="M1387">
        <v>5.620461407744589E-4</v>
      </c>
      <c r="N1387">
        <v>5.2912766088612853E-2</v>
      </c>
      <c r="O1387">
        <v>7.4766785835899338E-3</v>
      </c>
      <c r="P1387">
        <v>1.686485045637659E-2</v>
      </c>
      <c r="Q1387">
        <v>4.36282971576661E-4</v>
      </c>
      <c r="R1387">
        <v>5.6036567241229084E-4</v>
      </c>
      <c r="S1387">
        <v>5.8290072094195983E-2</v>
      </c>
      <c r="T1387">
        <v>1.0744006353146447</v>
      </c>
      <c r="U1387">
        <v>0</v>
      </c>
      <c r="V1387">
        <v>9.6596117684998206E-2</v>
      </c>
      <c r="W1387">
        <v>3.4599745932777218E-2</v>
      </c>
      <c r="X1387">
        <v>7.73197323601316E-3</v>
      </c>
      <c r="Y1387">
        <v>1.5251306358119905E-3</v>
      </c>
    </row>
    <row r="1388" spans="1:25" x14ac:dyDescent="0.25">
      <c r="A1388" s="1096"/>
      <c r="B1388" s="1455">
        <v>1138</v>
      </c>
      <c r="C1388" s="1100">
        <v>0.98093580108920342</v>
      </c>
      <c r="D1388" s="1100">
        <v>1.0294361840160657</v>
      </c>
      <c r="E1388" s="1100">
        <v>0.97809583678620748</v>
      </c>
      <c r="F1388" s="1100">
        <v>1.0014099789261837</v>
      </c>
      <c r="G1388" s="1100">
        <v>1.0243408001980243</v>
      </c>
      <c r="H1388" s="1100">
        <v>1.0261104318573173</v>
      </c>
      <c r="I1388" s="1100">
        <v>0.98744606896745957</v>
      </c>
      <c r="K1388">
        <v>1.3211434480665325</v>
      </c>
      <c r="L1388">
        <v>0</v>
      </c>
      <c r="M1388">
        <v>6.5028236012218399E-4</v>
      </c>
      <c r="N1388">
        <v>5.5968157015608672E-2</v>
      </c>
      <c r="O1388">
        <v>7.8160948957212203E-3</v>
      </c>
      <c r="P1388">
        <v>1.6028220473012268E-2</v>
      </c>
      <c r="Q1388">
        <v>4.4261877064735245E-4</v>
      </c>
      <c r="R1388">
        <v>6.4841231670917702E-4</v>
      </c>
      <c r="S1388">
        <v>6.0803629168149562E-2</v>
      </c>
      <c r="T1388">
        <v>1.0344945017489793</v>
      </c>
      <c r="U1388">
        <v>0</v>
      </c>
      <c r="V1388">
        <v>9.9353804070064874E-2</v>
      </c>
      <c r="W1388">
        <v>3.7253287239678516E-2</v>
      </c>
      <c r="X1388">
        <v>7.2202401510627814E-3</v>
      </c>
      <c r="Y1388">
        <v>1.7647645770196225E-3</v>
      </c>
    </row>
    <row r="1389" spans="1:25" x14ac:dyDescent="0.25">
      <c r="A1389" s="1096"/>
      <c r="B1389" s="1455">
        <v>1139</v>
      </c>
      <c r="C1389" s="1100">
        <v>0.9929491096741957</v>
      </c>
      <c r="D1389" s="1100">
        <v>0.97431703795819069</v>
      </c>
      <c r="E1389" s="1100">
        <v>0.99531696728696839</v>
      </c>
      <c r="F1389" s="1100">
        <v>1.0343669706901861</v>
      </c>
      <c r="G1389" s="1100">
        <v>0.99619129285150554</v>
      </c>
      <c r="H1389" s="1100">
        <v>0.98771981135725273</v>
      </c>
      <c r="I1389" s="1100">
        <v>1.0362319714124524</v>
      </c>
      <c r="K1389">
        <v>1.3555084008478779</v>
      </c>
      <c r="L1389">
        <v>0</v>
      </c>
      <c r="M1389">
        <v>6.100049728004598E-4</v>
      </c>
      <c r="N1389">
        <v>5.5302097917997985E-2</v>
      </c>
      <c r="O1389">
        <v>7.8976738731788548E-3</v>
      </c>
      <c r="P1389">
        <v>1.6710391691588972E-2</v>
      </c>
      <c r="Q1389">
        <v>4.5510607888270472E-4</v>
      </c>
      <c r="R1389">
        <v>6.081825739659675E-4</v>
      </c>
      <c r="S1389">
        <v>6.3699371755832984E-2</v>
      </c>
      <c r="T1389">
        <v>1.0680030484852041</v>
      </c>
      <c r="U1389">
        <v>0</v>
      </c>
      <c r="V1389">
        <v>9.770579654402442E-2</v>
      </c>
      <c r="W1389">
        <v>3.6431165428321685E-2</v>
      </c>
      <c r="X1389">
        <v>7.6502989926750227E-3</v>
      </c>
      <c r="Y1389">
        <v>1.6552724790037377E-3</v>
      </c>
    </row>
    <row r="1390" spans="1:25" x14ac:dyDescent="0.25">
      <c r="A1390" s="1096"/>
      <c r="B1390" s="1455">
        <v>1140</v>
      </c>
      <c r="C1390" s="1100">
        <v>0.99134363402485792</v>
      </c>
      <c r="D1390" s="1100">
        <v>1.0403787986477222</v>
      </c>
      <c r="E1390" s="1100">
        <v>1.0196915335969166</v>
      </c>
      <c r="F1390" s="1100">
        <v>0.9878975352463949</v>
      </c>
      <c r="G1390" s="1100">
        <v>0.98396923518447754</v>
      </c>
      <c r="H1390" s="1100">
        <v>1.0228895603327322</v>
      </c>
      <c r="I1390" s="1100">
        <v>1.0059076946919974</v>
      </c>
      <c r="K1390">
        <v>1.3054876882607205</v>
      </c>
      <c r="L1390">
        <v>0</v>
      </c>
      <c r="M1390">
        <v>5.8593742201919858E-4</v>
      </c>
      <c r="N1390">
        <v>5.7183192619664383E-2</v>
      </c>
      <c r="O1390">
        <v>7.7115303483054082E-3</v>
      </c>
      <c r="P1390">
        <v>1.6294963271596991E-2</v>
      </c>
      <c r="Q1390">
        <v>4.5535555623293456E-4</v>
      </c>
      <c r="R1390">
        <v>5.842471122242854E-4</v>
      </c>
      <c r="S1390">
        <v>6.0887951835006608E-2</v>
      </c>
      <c r="T1390">
        <v>1.0193111382928819</v>
      </c>
      <c r="U1390">
        <v>0</v>
      </c>
      <c r="V1390">
        <v>9.718220750419268E-2</v>
      </c>
      <c r="W1390">
        <v>3.7131738918469152E-2</v>
      </c>
      <c r="X1390">
        <v>7.7411721817004986E-3</v>
      </c>
      <c r="Y1390">
        <v>1.5901280424657216E-3</v>
      </c>
    </row>
    <row r="1391" spans="1:25" x14ac:dyDescent="0.25">
      <c r="A1391" s="1096"/>
      <c r="B1391" s="1455">
        <v>1141</v>
      </c>
      <c r="C1391" s="1100">
        <v>0.99729698562409286</v>
      </c>
      <c r="D1391" s="1100">
        <v>1.0289995508133538</v>
      </c>
      <c r="E1391" s="1100">
        <v>1.0008675792560431</v>
      </c>
      <c r="F1391" s="1100">
        <v>0.99837352198431362</v>
      </c>
      <c r="G1391" s="1100">
        <v>1.0022454012803661</v>
      </c>
      <c r="H1391" s="1100">
        <v>0.99817185544054554</v>
      </c>
      <c r="I1391" s="1100">
        <v>1.0390929522223806</v>
      </c>
      <c r="K1391">
        <v>1.3148349597920403</v>
      </c>
      <c r="L1391">
        <v>0</v>
      </c>
      <c r="M1391">
        <v>5.9363926706136431E-4</v>
      </c>
      <c r="N1391">
        <v>5.4730377174407895E-2</v>
      </c>
      <c r="O1391">
        <v>7.6947044464199905E-3</v>
      </c>
      <c r="P1391">
        <v>1.6251054036846263E-2</v>
      </c>
      <c r="Q1391">
        <v>4.4589338625801396E-4</v>
      </c>
      <c r="R1391">
        <v>5.9188433172698452E-4</v>
      </c>
      <c r="S1391">
        <v>6.2092749988110603E-2</v>
      </c>
      <c r="T1391">
        <v>1.0306738853666129</v>
      </c>
      <c r="U1391">
        <v>0</v>
      </c>
      <c r="V1391">
        <v>9.7896061359563386E-2</v>
      </c>
      <c r="W1391">
        <v>3.5935608955730759E-2</v>
      </c>
      <c r="X1391">
        <v>7.5054659770819945E-3</v>
      </c>
      <c r="Y1391">
        <v>1.6109140363433367E-3</v>
      </c>
    </row>
    <row r="1392" spans="1:25" x14ac:dyDescent="0.25">
      <c r="A1392" s="1096"/>
      <c r="B1392" s="1455">
        <v>1142</v>
      </c>
      <c r="C1392" s="1100">
        <v>0.99820119461013357</v>
      </c>
      <c r="D1392" s="1100">
        <v>0.98695231137912975</v>
      </c>
      <c r="E1392" s="1100">
        <v>1.0050420717032245</v>
      </c>
      <c r="F1392" s="1100">
        <v>0.99988977747004104</v>
      </c>
      <c r="G1392" s="1100">
        <v>1.047840839188984</v>
      </c>
      <c r="H1392" s="1100">
        <v>1.0266969487606725</v>
      </c>
      <c r="I1392" s="1100">
        <v>0.99974152220746293</v>
      </c>
      <c r="K1392">
        <v>1.3230637265246226</v>
      </c>
      <c r="L1392">
        <v>0</v>
      </c>
      <c r="M1392">
        <v>6.149661987541209E-4</v>
      </c>
      <c r="N1392">
        <v>5.7420767426239985E-2</v>
      </c>
      <c r="O1392">
        <v>7.8181379234972519E-3</v>
      </c>
      <c r="P1392">
        <v>1.6348928847153058E-2</v>
      </c>
      <c r="Q1392">
        <v>4.5494802906545669E-4</v>
      </c>
      <c r="R1392">
        <v>6.1319872573585424E-4</v>
      </c>
      <c r="S1392">
        <v>6.1918651768943081E-2</v>
      </c>
      <c r="T1392">
        <v>1.0321153231225162</v>
      </c>
      <c r="U1392">
        <v>0</v>
      </c>
      <c r="V1392">
        <v>0.10008405926247096</v>
      </c>
      <c r="W1392">
        <v>3.760889261806017E-2</v>
      </c>
      <c r="X1392">
        <v>7.6268602091474234E-3</v>
      </c>
      <c r="Y1392">
        <v>1.6689247905473828E-3</v>
      </c>
    </row>
    <row r="1393" spans="1:25" x14ac:dyDescent="0.25">
      <c r="A1393" s="1096"/>
      <c r="B1393" s="1455">
        <v>1143</v>
      </c>
      <c r="C1393" s="1100">
        <v>0.98781816533085298</v>
      </c>
      <c r="D1393" s="1100">
        <v>1.0063103485211691</v>
      </c>
      <c r="E1393" s="1100">
        <v>0.99424395762692408</v>
      </c>
      <c r="F1393" s="1100">
        <v>1.0094256676643405</v>
      </c>
      <c r="G1393" s="1100">
        <v>0.98320730136400614</v>
      </c>
      <c r="H1393" s="1100">
        <v>1.0012572882195203</v>
      </c>
      <c r="I1393" s="1100">
        <v>0.96404862649256107</v>
      </c>
      <c r="K1393">
        <v>1.3243507942834778</v>
      </c>
      <c r="L1393">
        <v>0</v>
      </c>
      <c r="M1393">
        <v>6.1496227179199672E-4</v>
      </c>
      <c r="N1393">
        <v>5.5573258930130778E-2</v>
      </c>
      <c r="O1393">
        <v>7.8364937929757371E-3</v>
      </c>
      <c r="P1393">
        <v>1.627629014544307E-2</v>
      </c>
      <c r="Q1393">
        <v>4.5109235058115454E-4</v>
      </c>
      <c r="R1393">
        <v>6.1314990289497689E-4</v>
      </c>
      <c r="S1393">
        <v>5.8945761822357438E-2</v>
      </c>
      <c r="T1393">
        <v>1.0422830991810343</v>
      </c>
      <c r="U1393">
        <v>0</v>
      </c>
      <c r="V1393">
        <v>9.7206128764924002E-2</v>
      </c>
      <c r="W1393">
        <v>3.6633248631858885E-2</v>
      </c>
      <c r="X1393">
        <v>7.4784411222010754E-3</v>
      </c>
      <c r="Y1393">
        <v>1.6687919108689601E-3</v>
      </c>
    </row>
    <row r="1394" spans="1:25" x14ac:dyDescent="0.25">
      <c r="A1394" s="1096"/>
      <c r="B1394" s="1455">
        <v>1144</v>
      </c>
      <c r="C1394" s="1100">
        <v>0.97434657399432234</v>
      </c>
      <c r="D1394" s="1100">
        <v>1.0224683738867373</v>
      </c>
      <c r="E1394" s="1100">
        <v>1.0054699046436453</v>
      </c>
      <c r="F1394" s="1100">
        <v>0.98661393000083708</v>
      </c>
      <c r="G1394" s="1100">
        <v>0.98054641095800998</v>
      </c>
      <c r="H1394" s="1100">
        <v>0.99751197027005611</v>
      </c>
      <c r="I1394" s="1100">
        <v>1.0094384046921461</v>
      </c>
      <c r="K1394">
        <v>1.3047378737625652</v>
      </c>
      <c r="L1394">
        <v>0</v>
      </c>
      <c r="M1394">
        <v>6.0298220594260071E-4</v>
      </c>
      <c r="N1394">
        <v>5.6369834318975562E-2</v>
      </c>
      <c r="O1394">
        <v>7.8971855929128431E-3</v>
      </c>
      <c r="P1394">
        <v>1.6130259945960512E-2</v>
      </c>
      <c r="Q1394">
        <v>4.597450165725315E-4</v>
      </c>
      <c r="R1394">
        <v>6.0119847149863912E-4</v>
      </c>
      <c r="S1394">
        <v>6.1936403811004716E-2</v>
      </c>
      <c r="T1394">
        <v>1.0183991091000579</v>
      </c>
      <c r="U1394">
        <v>0</v>
      </c>
      <c r="V1394">
        <v>9.7436831076028546E-2</v>
      </c>
      <c r="W1394">
        <v>3.6911214591684734E-2</v>
      </c>
      <c r="X1394">
        <v>7.5628099894148072E-3</v>
      </c>
      <c r="Y1394">
        <v>1.6362640543964302E-3</v>
      </c>
    </row>
    <row r="1395" spans="1:25" x14ac:dyDescent="0.25">
      <c r="A1395" s="1096"/>
      <c r="B1395" s="1455">
        <v>1145</v>
      </c>
      <c r="C1395" s="1100">
        <v>0.96175144043544547</v>
      </c>
      <c r="D1395" s="1100">
        <v>0.98951870097750438</v>
      </c>
      <c r="E1395" s="1100">
        <v>0.9942766273582484</v>
      </c>
      <c r="F1395" s="1100">
        <v>0.99842559149429877</v>
      </c>
      <c r="G1395" s="1100">
        <v>1.013657557994355</v>
      </c>
      <c r="H1395" s="1100">
        <v>0.98772879167586136</v>
      </c>
      <c r="I1395" s="1100">
        <v>1.003878737307526</v>
      </c>
      <c r="K1395">
        <v>1.3215145603978704</v>
      </c>
      <c r="L1395">
        <v>0</v>
      </c>
      <c r="M1395">
        <v>6.2726120315483047E-4</v>
      </c>
      <c r="N1395">
        <v>5.6687998178107678E-2</v>
      </c>
      <c r="O1395">
        <v>8.1032563490704562E-3</v>
      </c>
      <c r="P1395">
        <v>1.6209262680875785E-2</v>
      </c>
      <c r="Q1395">
        <v>4.6646337907718178E-4</v>
      </c>
      <c r="R1395">
        <v>6.2538726811593227E-4</v>
      </c>
      <c r="S1395">
        <v>6.318336558898742E-2</v>
      </c>
      <c r="T1395">
        <v>1.0309239872395959</v>
      </c>
      <c r="U1395">
        <v>0</v>
      </c>
      <c r="V1395">
        <v>9.9359118822102521E-2</v>
      </c>
      <c r="W1395">
        <v>3.7367342963389713E-2</v>
      </c>
      <c r="X1395">
        <v>7.5135411467476109E-3</v>
      </c>
      <c r="Y1395">
        <v>1.7020979849540394E-3</v>
      </c>
    </row>
    <row r="1396" spans="1:25" x14ac:dyDescent="0.25">
      <c r="A1396" s="1096"/>
      <c r="B1396" s="1455">
        <v>1146</v>
      </c>
      <c r="C1396" s="1100">
        <v>1.0073646859946259</v>
      </c>
      <c r="D1396" s="1100">
        <v>1.0258451919173921</v>
      </c>
      <c r="E1396" s="1100">
        <v>0.96032553328345749</v>
      </c>
      <c r="F1396" s="1100">
        <v>1.0019633809846664</v>
      </c>
      <c r="G1396" s="1100">
        <v>1.0264653902278953</v>
      </c>
      <c r="H1396" s="1100">
        <v>1.0057726700758183</v>
      </c>
      <c r="I1396" s="1100">
        <v>0.98824021279784058</v>
      </c>
      <c r="K1396">
        <v>1.3135887244572202</v>
      </c>
      <c r="L1396">
        <v>0</v>
      </c>
      <c r="M1396">
        <v>6.4476151373160098E-4</v>
      </c>
      <c r="N1396">
        <v>5.2582786118323566E-2</v>
      </c>
      <c r="O1396">
        <v>7.6174155103996182E-3</v>
      </c>
      <c r="P1396">
        <v>1.5791067415785325E-2</v>
      </c>
      <c r="Q1396">
        <v>4.2360024779612818E-4</v>
      </c>
      <c r="R1396">
        <v>6.4286985367211663E-4</v>
      </c>
      <c r="S1396">
        <v>5.8747064328414395E-2</v>
      </c>
      <c r="T1396">
        <v>1.0356125685065973</v>
      </c>
      <c r="U1396">
        <v>0</v>
      </c>
      <c r="V1396">
        <v>9.8774299860264952E-2</v>
      </c>
      <c r="W1396">
        <v>3.5380774616125918E-2</v>
      </c>
      <c r="X1396">
        <v>6.9113596938669914E-3</v>
      </c>
      <c r="Y1396">
        <v>1.7496798197051933E-3</v>
      </c>
    </row>
    <row r="1397" spans="1:25" x14ac:dyDescent="0.25">
      <c r="A1397" s="1096"/>
      <c r="B1397" s="1455">
        <v>1147</v>
      </c>
      <c r="C1397" s="1100">
        <v>1.0015338432087901</v>
      </c>
      <c r="D1397" s="1100">
        <v>1.0109624333882343</v>
      </c>
      <c r="E1397" s="1100">
        <v>0.98608797649289104</v>
      </c>
      <c r="F1397" s="1100">
        <v>0.98927568338198901</v>
      </c>
      <c r="G1397" s="1100">
        <v>1.0148870013601483</v>
      </c>
      <c r="H1397" s="1100">
        <v>0.99688471200767104</v>
      </c>
      <c r="I1397" s="1100">
        <v>1.0236110792083055</v>
      </c>
      <c r="K1397">
        <v>1.3044063910514043</v>
      </c>
      <c r="L1397">
        <v>0</v>
      </c>
      <c r="M1397">
        <v>6.1304728420895555E-4</v>
      </c>
      <c r="N1397">
        <v>5.4050107215688495E-2</v>
      </c>
      <c r="O1397">
        <v>7.7129419187532203E-3</v>
      </c>
      <c r="P1397">
        <v>1.594866752506028E-2</v>
      </c>
      <c r="Q1397">
        <v>4.4033562668677E-4</v>
      </c>
      <c r="R1397">
        <v>6.1123263428271909E-4</v>
      </c>
      <c r="S1397">
        <v>6.1434184950393905E-2</v>
      </c>
      <c r="T1397">
        <v>1.021719748376843</v>
      </c>
      <c r="U1397">
        <v>0</v>
      </c>
      <c r="V1397">
        <v>9.8385990078017821E-2</v>
      </c>
      <c r="W1397">
        <v>3.5803689804855619E-2</v>
      </c>
      <c r="X1397">
        <v>7.2489664672981064E-3</v>
      </c>
      <c r="Y1397">
        <v>1.6635737377338228E-3</v>
      </c>
    </row>
    <row r="1398" spans="1:25" x14ac:dyDescent="0.25">
      <c r="A1398" s="1096"/>
      <c r="B1398" s="1455">
        <v>1148</v>
      </c>
      <c r="C1398" s="1100">
        <v>1.004686424077105</v>
      </c>
      <c r="D1398" s="1100">
        <v>1.0112171268254244</v>
      </c>
      <c r="E1398" s="1100">
        <v>1.0183780260800397</v>
      </c>
      <c r="F1398" s="1100">
        <v>0.99049597659981203</v>
      </c>
      <c r="G1398" s="1100">
        <v>1.00518820608543</v>
      </c>
      <c r="H1398" s="1100">
        <v>0.99785251515360629</v>
      </c>
      <c r="I1398" s="1100">
        <v>1.0152412483167383</v>
      </c>
      <c r="K1398">
        <v>1.3061744988687858</v>
      </c>
      <c r="L1398">
        <v>0</v>
      </c>
      <c r="M1398">
        <v>5.72015904704583E-4</v>
      </c>
      <c r="N1398">
        <v>5.5599731818503369E-2</v>
      </c>
      <c r="O1398">
        <v>7.6958219029621029E-3</v>
      </c>
      <c r="P1398">
        <v>1.6325147987999715E-2</v>
      </c>
      <c r="Q1398">
        <v>4.5383466665255089E-4</v>
      </c>
      <c r="R1398">
        <v>5.7032435187333785E-4</v>
      </c>
      <c r="S1398">
        <v>6.0793830610137531E-2</v>
      </c>
      <c r="T1398">
        <v>1.0220301953337294</v>
      </c>
      <c r="U1398">
        <v>0</v>
      </c>
      <c r="V1398">
        <v>9.787526347854747E-2</v>
      </c>
      <c r="W1398">
        <v>3.6131299556993172E-2</v>
      </c>
      <c r="X1398">
        <v>7.7188301876633192E-3</v>
      </c>
      <c r="Y1398">
        <v>1.5522348784271587E-3</v>
      </c>
    </row>
    <row r="1399" spans="1:25" x14ac:dyDescent="0.25">
      <c r="A1399" s="1096"/>
      <c r="B1399" s="1455">
        <v>1149</v>
      </c>
      <c r="C1399" s="1100">
        <v>0.97784289402694935</v>
      </c>
      <c r="D1399" s="1100">
        <v>0.98787584828618713</v>
      </c>
      <c r="E1399" s="1100">
        <v>1.0284640278002035</v>
      </c>
      <c r="F1399" s="1100">
        <v>1.0120712230051687</v>
      </c>
      <c r="G1399" s="1100">
        <v>1.0086238885767538</v>
      </c>
      <c r="H1399" s="1100">
        <v>1.01365823737476</v>
      </c>
      <c r="I1399" s="1100">
        <v>1.0086200732898696</v>
      </c>
      <c r="K1399">
        <v>1.3383524097493935</v>
      </c>
      <c r="L1399">
        <v>0</v>
      </c>
      <c r="M1399">
        <v>5.9010999502004521E-4</v>
      </c>
      <c r="N1399">
        <v>5.9132839791343775E-2</v>
      </c>
      <c r="O1399">
        <v>7.9838468364123762E-3</v>
      </c>
      <c r="P1399">
        <v>1.6799352469527032E-2</v>
      </c>
      <c r="Q1399">
        <v>4.7555562036432936E-4</v>
      </c>
      <c r="R1399">
        <v>5.883921450368962E-4</v>
      </c>
      <c r="S1399">
        <v>6.3348480459536449E-2</v>
      </c>
      <c r="T1399">
        <v>1.0439955917570185</v>
      </c>
      <c r="U1399">
        <v>0</v>
      </c>
      <c r="V1399">
        <v>9.8730333367067991E-2</v>
      </c>
      <c r="W1399">
        <v>3.8201796776765488E-2</v>
      </c>
      <c r="X1399">
        <v>8.0849210659692666E-3</v>
      </c>
      <c r="Y1399">
        <v>1.601409455371949E-3</v>
      </c>
    </row>
    <row r="1400" spans="1:25" x14ac:dyDescent="0.25">
      <c r="A1400" s="1096"/>
      <c r="B1400" s="1455">
        <v>1150</v>
      </c>
      <c r="C1400" s="1100">
        <v>0.97718861828717785</v>
      </c>
      <c r="D1400" s="1100">
        <v>1.0026062246312262</v>
      </c>
      <c r="E1400" s="1100">
        <v>1.0176378638009203</v>
      </c>
      <c r="F1400" s="1100">
        <v>0.99178165169532118</v>
      </c>
      <c r="G1400" s="1100">
        <v>1.0240596756826112</v>
      </c>
      <c r="H1400" s="1100">
        <v>1.0254989412814459</v>
      </c>
      <c r="I1400" s="1100">
        <v>0.98743029853816422</v>
      </c>
      <c r="K1400">
        <v>1.3162324490920925</v>
      </c>
      <c r="L1400">
        <v>0</v>
      </c>
      <c r="M1400">
        <v>6.0741194871523601E-4</v>
      </c>
      <c r="N1400">
        <v>5.8913220708777615E-2</v>
      </c>
      <c r="O1400">
        <v>7.9393063914232238E-3</v>
      </c>
      <c r="P1400">
        <v>1.6372735938910532E-2</v>
      </c>
      <c r="Q1400">
        <v>4.678485673829151E-4</v>
      </c>
      <c r="R1400">
        <v>6.0566414791880492E-4</v>
      </c>
      <c r="S1400">
        <v>6.192344713985283E-2</v>
      </c>
      <c r="T1400">
        <v>1.0233782593173035</v>
      </c>
      <c r="U1400">
        <v>0</v>
      </c>
      <c r="V1400">
        <v>9.9481810100288739E-2</v>
      </c>
      <c r="W1400">
        <v>3.8301167336089535E-2</v>
      </c>
      <c r="X1400">
        <v>7.807983239357579E-3</v>
      </c>
      <c r="Y1400">
        <v>1.6484181535022847E-3</v>
      </c>
    </row>
    <row r="1401" spans="1:25" x14ac:dyDescent="0.25">
      <c r="A1401" s="1096"/>
      <c r="B1401" s="1455">
        <v>1151</v>
      </c>
      <c r="C1401" s="1100">
        <v>1.0204932745922672</v>
      </c>
      <c r="D1401" s="1100">
        <v>1.035687285821381</v>
      </c>
      <c r="E1401" s="1100">
        <v>0.96140454768385364</v>
      </c>
      <c r="F1401" s="1100">
        <v>0.99909134241585873</v>
      </c>
      <c r="G1401" s="1100">
        <v>1.0344908510430288</v>
      </c>
      <c r="H1401" s="1100">
        <v>1.0047023654021905</v>
      </c>
      <c r="I1401" s="1100">
        <v>0.97548117940859869</v>
      </c>
      <c r="K1401">
        <v>1.3070983478654776</v>
      </c>
      <c r="L1401">
        <v>0</v>
      </c>
      <c r="M1401">
        <v>6.3195850158870889E-4</v>
      </c>
      <c r="N1401">
        <v>5.1707261782223547E-2</v>
      </c>
      <c r="O1401">
        <v>7.4910075865240256E-3</v>
      </c>
      <c r="P1401">
        <v>1.5741253852632402E-2</v>
      </c>
      <c r="Q1401">
        <v>4.1703278840439121E-4</v>
      </c>
      <c r="R1401">
        <v>6.3010242901125892E-4</v>
      </c>
      <c r="S1401">
        <v>5.6921060842655934E-2</v>
      </c>
      <c r="T1401">
        <v>1.0326107257832409</v>
      </c>
      <c r="U1401">
        <v>0</v>
      </c>
      <c r="V1401">
        <v>9.8847336329898866E-2</v>
      </c>
      <c r="W1401">
        <v>3.4768663193359133E-2</v>
      </c>
      <c r="X1401">
        <v>6.8809306805572611E-3</v>
      </c>
      <c r="Y1401">
        <v>1.7149310985587469E-3</v>
      </c>
    </row>
    <row r="1402" spans="1:25" x14ac:dyDescent="0.25">
      <c r="A1402" s="1096"/>
      <c r="B1402" s="1455">
        <v>1152</v>
      </c>
      <c r="C1402" s="1100">
        <v>0.98054980204478837</v>
      </c>
      <c r="D1402" s="1100">
        <v>0.97682083016111709</v>
      </c>
      <c r="E1402" s="1100">
        <v>1.0279193677906899</v>
      </c>
      <c r="F1402" s="1100">
        <v>0.97910047509405462</v>
      </c>
      <c r="G1402" s="1100">
        <v>1.0281482545511089</v>
      </c>
      <c r="H1402" s="1100">
        <v>1.0223841499116153</v>
      </c>
      <c r="I1402" s="1100">
        <v>1.0042472775016471</v>
      </c>
      <c r="K1402">
        <v>1.3058215595567269</v>
      </c>
      <c r="L1402">
        <v>0</v>
      </c>
      <c r="M1402">
        <v>5.9690154808772586E-4</v>
      </c>
      <c r="N1402">
        <v>5.971674427903708E-2</v>
      </c>
      <c r="O1402">
        <v>7.9975893520783572E-3</v>
      </c>
      <c r="P1402">
        <v>1.6334453460685787E-2</v>
      </c>
      <c r="Q1402">
        <v>4.7611747524825738E-4</v>
      </c>
      <c r="R1402">
        <v>5.9517875779649442E-4</v>
      </c>
      <c r="S1402">
        <v>6.3555248612724033E-2</v>
      </c>
      <c r="T1402">
        <v>1.010000254800649</v>
      </c>
      <c r="U1402">
        <v>0</v>
      </c>
      <c r="V1402">
        <v>9.9604419573853145E-2</v>
      </c>
      <c r="W1402">
        <v>3.8591235120553076E-2</v>
      </c>
      <c r="X1402">
        <v>7.9273392940922664E-3</v>
      </c>
      <c r="Y1402">
        <v>1.6198803780972809E-3</v>
      </c>
    </row>
    <row r="1403" spans="1:25" x14ac:dyDescent="0.25">
      <c r="A1403" s="1096"/>
      <c r="B1403" s="1455">
        <v>1153</v>
      </c>
      <c r="C1403" s="1100">
        <v>1.0141173630142142</v>
      </c>
      <c r="D1403" s="1100">
        <v>0.98574566189132662</v>
      </c>
      <c r="E1403" s="1100">
        <v>1.0110311868861193</v>
      </c>
      <c r="F1403" s="1100">
        <v>1.0210604443266749</v>
      </c>
      <c r="G1403" s="1100">
        <v>0.98690705417305258</v>
      </c>
      <c r="H1403" s="1100">
        <v>0.99333281757287173</v>
      </c>
      <c r="I1403" s="1100">
        <v>0.99008452173331696</v>
      </c>
      <c r="K1403">
        <v>1.334970056751043</v>
      </c>
      <c r="L1403">
        <v>0</v>
      </c>
      <c r="M1403">
        <v>5.7868749275768018E-4</v>
      </c>
      <c r="N1403">
        <v>5.5014030068659972E-2</v>
      </c>
      <c r="O1403">
        <v>7.7006618436043298E-3</v>
      </c>
      <c r="P1403">
        <v>1.663919680258091E-2</v>
      </c>
      <c r="Q1403">
        <v>4.5080573758445725E-4</v>
      </c>
      <c r="R1403">
        <v>5.7696842446326127E-4</v>
      </c>
      <c r="S1403">
        <v>5.9402955574582139E-2</v>
      </c>
      <c r="T1403">
        <v>1.05378774315279</v>
      </c>
      <c r="U1403">
        <v>0</v>
      </c>
      <c r="V1403">
        <v>9.6753130397498874E-2</v>
      </c>
      <c r="W1403">
        <v>3.5905325336478472E-2</v>
      </c>
      <c r="X1403">
        <v>7.7476090517595653E-3</v>
      </c>
      <c r="Y1403">
        <v>1.5703178537989897E-3</v>
      </c>
    </row>
    <row r="1404" spans="1:25" x14ac:dyDescent="0.25">
      <c r="A1404" s="1096"/>
      <c r="B1404" s="1455">
        <v>1154</v>
      </c>
      <c r="C1404" s="1100">
        <v>0.99790441759141557</v>
      </c>
      <c r="D1404" s="1100">
        <v>1.029831900745706</v>
      </c>
      <c r="E1404" s="1100">
        <v>1.028923318608806</v>
      </c>
      <c r="F1404" s="1100">
        <v>1.0312030227344771</v>
      </c>
      <c r="G1404" s="1100">
        <v>0.99235221770674009</v>
      </c>
      <c r="H1404" s="1100">
        <v>0.99600182438479701</v>
      </c>
      <c r="I1404" s="1100">
        <v>1.0287816883145964</v>
      </c>
      <c r="K1404">
        <v>1.3494969347162269</v>
      </c>
      <c r="L1404">
        <v>0</v>
      </c>
      <c r="M1404">
        <v>5.5826517202152263E-4</v>
      </c>
      <c r="N1404">
        <v>5.6016399281153401E-2</v>
      </c>
      <c r="O1404">
        <v>7.6943701760670245E-3</v>
      </c>
      <c r="P1404">
        <v>1.7034124050429429E-2</v>
      </c>
      <c r="Q1404">
        <v>4.585213392601318E-4</v>
      </c>
      <c r="R1404">
        <v>5.5661121500352067E-4</v>
      </c>
      <c r="S1404">
        <v>6.137286063177734E-2</v>
      </c>
      <c r="T1404">
        <v>1.0637171830568832</v>
      </c>
      <c r="U1404">
        <v>0</v>
      </c>
      <c r="V1404">
        <v>9.743377752017135E-2</v>
      </c>
      <c r="W1404">
        <v>3.6178815024845247E-2</v>
      </c>
      <c r="X1404">
        <v>8.0776253522553583E-3</v>
      </c>
      <c r="Y1404">
        <v>1.5149122404018707E-3</v>
      </c>
    </row>
    <row r="1405" spans="1:25" x14ac:dyDescent="0.25">
      <c r="A1405" s="1096"/>
      <c r="B1405" s="1455">
        <v>1155</v>
      </c>
      <c r="C1405" s="1100">
        <v>0.99461770360709068</v>
      </c>
      <c r="D1405" s="1100">
        <v>1.0241463680111589</v>
      </c>
      <c r="E1405" s="1100">
        <v>1.0212692912064716</v>
      </c>
      <c r="F1405" s="1100">
        <v>0.99726813430185235</v>
      </c>
      <c r="G1405" s="1100">
        <v>0.98135464622127899</v>
      </c>
      <c r="H1405" s="1100">
        <v>1.024905803568936</v>
      </c>
      <c r="I1405" s="1100">
        <v>0.9695483631749976</v>
      </c>
      <c r="K1405">
        <v>1.3138588548347505</v>
      </c>
      <c r="L1405">
        <v>0</v>
      </c>
      <c r="M1405">
        <v>5.8692210635582023E-4</v>
      </c>
      <c r="N1405">
        <v>5.7552893672810204E-2</v>
      </c>
      <c r="O1405">
        <v>7.7350320662532106E-3</v>
      </c>
      <c r="P1405">
        <v>1.6418754223650453E-2</v>
      </c>
      <c r="Q1405">
        <v>4.5746008391735058E-4</v>
      </c>
      <c r="R1405">
        <v>5.8523228679337104E-4</v>
      </c>
      <c r="S1405">
        <v>5.9048032923239249E-2</v>
      </c>
      <c r="T1405">
        <v>1.0289338312290046</v>
      </c>
      <c r="U1405">
        <v>0</v>
      </c>
      <c r="V1405">
        <v>9.6975155469206487E-2</v>
      </c>
      <c r="W1405">
        <v>3.7337335283453843E-2</v>
      </c>
      <c r="X1405">
        <v>7.809240339896854E-3</v>
      </c>
      <c r="Y1405">
        <v>1.5928093628800634E-3</v>
      </c>
    </row>
    <row r="1406" spans="1:25" x14ac:dyDescent="0.25">
      <c r="A1406" s="1096"/>
      <c r="B1406" s="1455">
        <v>1156</v>
      </c>
      <c r="C1406" s="1100">
        <v>1.023399700719593</v>
      </c>
      <c r="D1406" s="1100">
        <v>1.0245497157833197</v>
      </c>
      <c r="E1406" s="1100">
        <v>0.99702440847899698</v>
      </c>
      <c r="F1406" s="1100">
        <v>1.0183072241595887</v>
      </c>
      <c r="G1406" s="1100">
        <v>1.0048765126927717</v>
      </c>
      <c r="H1406" s="1100">
        <v>1.0048495073450374</v>
      </c>
      <c r="I1406" s="1100">
        <v>0.99575581077248987</v>
      </c>
      <c r="K1406">
        <v>1.3293749523165488</v>
      </c>
      <c r="L1406">
        <v>0</v>
      </c>
      <c r="M1406">
        <v>5.8804694062113149E-4</v>
      </c>
      <c r="N1406">
        <v>5.3589952103352892E-2</v>
      </c>
      <c r="O1406">
        <v>7.5105414120751422E-3</v>
      </c>
      <c r="P1406">
        <v>1.6427691915967834E-2</v>
      </c>
      <c r="Q1406">
        <v>4.3354246310375215E-4</v>
      </c>
      <c r="R1406">
        <v>5.8632008992785996E-4</v>
      </c>
      <c r="S1406">
        <v>5.8313032975483549E-2</v>
      </c>
      <c r="T1406">
        <v>1.0513691117861252</v>
      </c>
      <c r="U1406">
        <v>0</v>
      </c>
      <c r="V1406">
        <v>9.7385257785161869E-2</v>
      </c>
      <c r="W1406">
        <v>3.5267344926492313E-2</v>
      </c>
      <c r="X1406">
        <v>7.4844337950603062E-3</v>
      </c>
      <c r="Y1406">
        <v>1.5957700044179355E-3</v>
      </c>
    </row>
    <row r="1407" spans="1:25" x14ac:dyDescent="0.25">
      <c r="A1407" s="1096"/>
      <c r="B1407" s="1455">
        <v>1157</v>
      </c>
      <c r="C1407" s="1100">
        <v>1.0015442826779661</v>
      </c>
      <c r="D1407" s="1100">
        <v>1.0081642053907001</v>
      </c>
      <c r="E1407" s="1100">
        <v>1.0159020480595009</v>
      </c>
      <c r="F1407" s="1100">
        <v>1.0190349452905307</v>
      </c>
      <c r="G1407" s="1100">
        <v>1.002291794734739</v>
      </c>
      <c r="H1407" s="1100">
        <v>1.0161970397715934</v>
      </c>
      <c r="I1407" s="1100">
        <v>1.0029183521328795</v>
      </c>
      <c r="K1407">
        <v>1.3382479056460048</v>
      </c>
      <c r="L1407">
        <v>0</v>
      </c>
      <c r="M1407">
        <v>5.8808714447765884E-4</v>
      </c>
      <c r="N1407">
        <v>5.6739419931795723E-2</v>
      </c>
      <c r="O1407">
        <v>7.7287020604951103E-3</v>
      </c>
      <c r="P1407">
        <v>1.670343380451798E-2</v>
      </c>
      <c r="Q1407">
        <v>4.5465139955557546E-4</v>
      </c>
      <c r="R1407">
        <v>5.8637946020470837E-4</v>
      </c>
      <c r="S1407">
        <v>6.0898916437221617E-2</v>
      </c>
      <c r="T1407">
        <v>1.051551568618289</v>
      </c>
      <c r="U1407">
        <v>0</v>
      </c>
      <c r="V1407">
        <v>9.7809756378630777E-2</v>
      </c>
      <c r="W1407">
        <v>3.6925493105299988E-2</v>
      </c>
      <c r="X1407">
        <v>7.8417400037307308E-3</v>
      </c>
      <c r="Y1407">
        <v>1.5959315907401101E-3</v>
      </c>
    </row>
    <row r="1408" spans="1:25" x14ac:dyDescent="0.25">
      <c r="A1408" s="1096"/>
      <c r="B1408" s="1455">
        <v>1158</v>
      </c>
      <c r="C1408" s="1100">
        <v>0.98473745197160079</v>
      </c>
      <c r="D1408" s="1100">
        <v>0.99645327017873908</v>
      </c>
      <c r="E1408" s="1100">
        <v>1.014064516991237</v>
      </c>
      <c r="F1408" s="1100">
        <v>1.0030587619974412</v>
      </c>
      <c r="G1408" s="1100">
        <v>1.0207846542522814</v>
      </c>
      <c r="H1408" s="1100">
        <v>0.98946676338070283</v>
      </c>
      <c r="I1408" s="1100">
        <v>0.99635069240432683</v>
      </c>
      <c r="K1408">
        <v>1.3225983517525413</v>
      </c>
      <c r="L1408">
        <v>0</v>
      </c>
      <c r="M1408">
        <v>5.8735893125613011E-4</v>
      </c>
      <c r="N1408">
        <v>5.6351339600825286E-2</v>
      </c>
      <c r="O1408">
        <v>7.8969741598711434E-3</v>
      </c>
      <c r="P1408">
        <v>1.6475154385541434E-2</v>
      </c>
      <c r="Q1408">
        <v>4.6370003844429288E-4</v>
      </c>
      <c r="R1408">
        <v>5.8560728588955501E-4</v>
      </c>
      <c r="S1408">
        <v>6.1089619393845572E-2</v>
      </c>
      <c r="T1408">
        <v>1.0351196381048451</v>
      </c>
      <c r="U1408">
        <v>0</v>
      </c>
      <c r="V1408">
        <v>9.9124825272763187E-2</v>
      </c>
      <c r="W1408">
        <v>3.6712536621467111E-2</v>
      </c>
      <c r="X1408">
        <v>7.7724858335029758E-3</v>
      </c>
      <c r="Y1408">
        <v>1.5938299868014571E-3</v>
      </c>
    </row>
    <row r="1409" spans="1:25" x14ac:dyDescent="0.25">
      <c r="A1409" s="1096"/>
      <c r="B1409" s="1455">
        <v>1159</v>
      </c>
      <c r="C1409" s="1100">
        <v>1.0039213539685703</v>
      </c>
      <c r="D1409" s="1100">
        <v>0.96593088839938779</v>
      </c>
      <c r="E1409" s="1100">
        <v>0.96759100859970881</v>
      </c>
      <c r="F1409" s="1100">
        <v>1.0228511883462172</v>
      </c>
      <c r="G1409" s="1100">
        <v>1.0095942266356119</v>
      </c>
      <c r="H1409" s="1100">
        <v>1.0277279536661565</v>
      </c>
      <c r="I1409" s="1100">
        <v>0.99121530164150662</v>
      </c>
      <c r="K1409">
        <v>1.3430882637268045</v>
      </c>
      <c r="L1409">
        <v>0</v>
      </c>
      <c r="M1409">
        <v>6.6713092375741436E-4</v>
      </c>
      <c r="N1409">
        <v>5.5621304754856736E-2</v>
      </c>
      <c r="O1409">
        <v>7.8315603320719615E-3</v>
      </c>
      <c r="P1409">
        <v>1.6194282781980682E-2</v>
      </c>
      <c r="Q1409">
        <v>4.3876580486816705E-4</v>
      </c>
      <c r="R1409">
        <v>6.6521544772938312E-4</v>
      </c>
      <c r="S1409">
        <v>6.1742530981829968E-2</v>
      </c>
      <c r="T1409">
        <v>1.0569726355171318</v>
      </c>
      <c r="U1409">
        <v>0</v>
      </c>
      <c r="V1409">
        <v>9.8050659704515347E-2</v>
      </c>
      <c r="W1409">
        <v>3.7259344948368474E-2</v>
      </c>
      <c r="X1409">
        <v>7.1685972167040285E-3</v>
      </c>
      <c r="Y1409">
        <v>1.8104971605059719E-3</v>
      </c>
    </row>
    <row r="1410" spans="1:25" x14ac:dyDescent="0.25">
      <c r="A1410" s="1096"/>
      <c r="B1410" s="1455">
        <v>1160</v>
      </c>
      <c r="C1410" s="1100">
        <v>0.98461374037246996</v>
      </c>
      <c r="D1410" s="1100">
        <v>1.0037899424856935</v>
      </c>
      <c r="E1410" s="1100">
        <v>0.97824488672767951</v>
      </c>
      <c r="F1410" s="1100">
        <v>1.024690192293469</v>
      </c>
      <c r="G1410" s="1100">
        <v>0.99841452023222144</v>
      </c>
      <c r="H1410" s="1100">
        <v>0.99757008791741719</v>
      </c>
      <c r="I1410" s="1100">
        <v>0.99141182111639747</v>
      </c>
      <c r="K1410">
        <v>1.342225166714957</v>
      </c>
      <c r="L1410">
        <v>0</v>
      </c>
      <c r="M1410">
        <v>6.3602590684622281E-4</v>
      </c>
      <c r="N1410">
        <v>5.4761317080708909E-2</v>
      </c>
      <c r="O1410">
        <v>7.8659139990611329E-3</v>
      </c>
      <c r="P1410">
        <v>1.6334087284443761E-2</v>
      </c>
      <c r="Q1410">
        <v>4.4550753925207929E-4</v>
      </c>
      <c r="R1410">
        <v>6.3414453255198938E-4</v>
      </c>
      <c r="S1410">
        <v>6.0769123644912784E-2</v>
      </c>
      <c r="T1410">
        <v>1.0585391997286366</v>
      </c>
      <c r="U1410">
        <v>0</v>
      </c>
      <c r="V1410">
        <v>9.8005576951749024E-2</v>
      </c>
      <c r="W1410">
        <v>3.6446710454552791E-2</v>
      </c>
      <c r="X1410">
        <v>7.333679034016825E-3</v>
      </c>
      <c r="Y1410">
        <v>1.7259323719175418E-3</v>
      </c>
    </row>
    <row r="1411" spans="1:25" x14ac:dyDescent="0.25">
      <c r="A1411" s="1096"/>
      <c r="B1411" s="1455">
        <v>1161</v>
      </c>
      <c r="C1411" s="1100">
        <v>1.0120616577139427</v>
      </c>
      <c r="D1411" s="1100">
        <v>1.0331936711606309</v>
      </c>
      <c r="E1411" s="1100">
        <v>1.0045838289034372</v>
      </c>
      <c r="F1411" s="1100">
        <v>1.0153243784165304</v>
      </c>
      <c r="G1411" s="1100">
        <v>0.96719348356090251</v>
      </c>
      <c r="H1411" s="1100">
        <v>1.0391619430532406</v>
      </c>
      <c r="I1411" s="1100">
        <v>1.0207269363398987</v>
      </c>
      <c r="K1411">
        <v>1.3320012339846787</v>
      </c>
      <c r="L1411">
        <v>0</v>
      </c>
      <c r="M1411">
        <v>6.0334013146465324E-4</v>
      </c>
      <c r="N1411">
        <v>5.625924883342269E-2</v>
      </c>
      <c r="O1411">
        <v>7.5710116791596407E-3</v>
      </c>
      <c r="P1411">
        <v>1.6493998390361888E-2</v>
      </c>
      <c r="Q1411">
        <v>4.4036507189689714E-4</v>
      </c>
      <c r="R1411">
        <v>6.0162687334545397E-4</v>
      </c>
      <c r="S1411">
        <v>6.1224279750555062E-2</v>
      </c>
      <c r="T1411">
        <v>1.0480611493143752</v>
      </c>
      <c r="U1411">
        <v>0</v>
      </c>
      <c r="V1411">
        <v>9.5841908631205203E-2</v>
      </c>
      <c r="W1411">
        <v>3.6858131596442634E-2</v>
      </c>
      <c r="X1411">
        <v>7.6154239523767969E-3</v>
      </c>
      <c r="Y1411">
        <v>1.6374300230008289E-3</v>
      </c>
    </row>
    <row r="1412" spans="1:25" x14ac:dyDescent="0.25">
      <c r="A1412" s="1096"/>
      <c r="B1412" s="1455">
        <v>1162</v>
      </c>
      <c r="C1412" s="1100">
        <v>0.97853137632106835</v>
      </c>
      <c r="D1412" s="1100">
        <v>0.99468786131766174</v>
      </c>
      <c r="E1412" s="1100">
        <v>0.969508912750767</v>
      </c>
      <c r="F1412" s="1100">
        <v>1.004499443132256</v>
      </c>
      <c r="G1412" s="1100">
        <v>0.96943685147581105</v>
      </c>
      <c r="H1412" s="1100">
        <v>1.0107545563619722</v>
      </c>
      <c r="I1412" s="1100">
        <v>0.99185968724347007</v>
      </c>
      <c r="K1412">
        <v>1.3225789949842397</v>
      </c>
      <c r="L1412">
        <v>0</v>
      </c>
      <c r="M1412">
        <v>6.6265591981904185E-4</v>
      </c>
      <c r="N1412">
        <v>5.5567324273827191E-2</v>
      </c>
      <c r="O1412">
        <v>7.9415113615673837E-3</v>
      </c>
      <c r="P1412">
        <v>1.5949029507454131E-2</v>
      </c>
      <c r="Q1412">
        <v>4.4579957483986774E-4</v>
      </c>
      <c r="R1412">
        <v>6.6072134205067095E-4</v>
      </c>
      <c r="S1412">
        <v>6.1874302512297398E-2</v>
      </c>
      <c r="T1412">
        <v>1.0379495347680838</v>
      </c>
      <c r="U1412">
        <v>0</v>
      </c>
      <c r="V1412">
        <v>9.6750688871504703E-2</v>
      </c>
      <c r="W1412">
        <v>3.7179709448153873E-2</v>
      </c>
      <c r="X1412">
        <v>7.124763557949553E-3</v>
      </c>
      <c r="Y1412">
        <v>1.7982656863300564E-3</v>
      </c>
    </row>
    <row r="1413" spans="1:25" x14ac:dyDescent="0.25">
      <c r="A1413" s="1096"/>
      <c r="B1413" s="1455">
        <v>1163</v>
      </c>
      <c r="C1413" s="1100">
        <v>0.97985512154109999</v>
      </c>
      <c r="D1413" s="1100">
        <v>1.0002727810797631</v>
      </c>
      <c r="E1413" s="1100">
        <v>0.98364116909827848</v>
      </c>
      <c r="F1413" s="1100">
        <v>0.99438008261072219</v>
      </c>
      <c r="G1413" s="1100">
        <v>1.0014931610406144</v>
      </c>
      <c r="H1413" s="1100">
        <v>1.0162374352124619</v>
      </c>
      <c r="I1413" s="1100">
        <v>1.0247815196909003</v>
      </c>
      <c r="K1413">
        <v>1.3164877599383105</v>
      </c>
      <c r="L1413">
        <v>0</v>
      </c>
      <c r="M1413">
        <v>6.4475336524799339E-4</v>
      </c>
      <c r="N1413">
        <v>5.6429569291213504E-2</v>
      </c>
      <c r="O1413">
        <v>7.9165673134675308E-3</v>
      </c>
      <c r="P1413">
        <v>1.6022233176755711E-2</v>
      </c>
      <c r="Q1413">
        <v>4.5084113067556683E-4</v>
      </c>
      <c r="R1413">
        <v>6.4288120833051439E-4</v>
      </c>
      <c r="S1413">
        <v>6.3839968349137896E-2</v>
      </c>
      <c r="T1413">
        <v>1.0270650702192348</v>
      </c>
      <c r="U1413">
        <v>0</v>
      </c>
      <c r="V1413">
        <v>9.8282707065281485E-2</v>
      </c>
      <c r="W1413">
        <v>3.7434939649560801E-2</v>
      </c>
      <c r="X1413">
        <v>7.2980251765572372E-3</v>
      </c>
      <c r="Y1413">
        <v>1.7497107233422906E-3</v>
      </c>
    </row>
    <row r="1414" spans="1:25" x14ac:dyDescent="0.25">
      <c r="A1414" s="1096"/>
      <c r="B1414" s="1455">
        <v>1164</v>
      </c>
      <c r="C1414" s="1100">
        <v>1.0238447857212662</v>
      </c>
      <c r="D1414" s="1100">
        <v>0.99473371544808364</v>
      </c>
      <c r="E1414" s="1100">
        <v>0.97278450405086914</v>
      </c>
      <c r="F1414" s="1100">
        <v>1.0415474175837451</v>
      </c>
      <c r="G1414" s="1100">
        <v>1.032510370349889</v>
      </c>
      <c r="H1414" s="1100">
        <v>0.99089376686716168</v>
      </c>
      <c r="I1414" s="1100">
        <v>1.0009452553975855</v>
      </c>
      <c r="K1414">
        <v>1.3544451917019327</v>
      </c>
      <c r="L1414">
        <v>0</v>
      </c>
      <c r="M1414">
        <v>6.1668687576376161E-4</v>
      </c>
      <c r="N1414">
        <v>5.2224903071532394E-2</v>
      </c>
      <c r="O1414">
        <v>7.5906786449647275E-3</v>
      </c>
      <c r="P1414">
        <v>1.6487753251170429E-2</v>
      </c>
      <c r="Q1414">
        <v>4.2753349157254603E-4</v>
      </c>
      <c r="R1414">
        <v>6.1485041595675484E-4</v>
      </c>
      <c r="S1414">
        <v>5.9085339717988204E-2</v>
      </c>
      <c r="T1414">
        <v>1.0761267220438091</v>
      </c>
      <c r="U1414">
        <v>0</v>
      </c>
      <c r="V1414">
        <v>9.8684639059150578E-2</v>
      </c>
      <c r="W1414">
        <v>3.4873787186624275E-2</v>
      </c>
      <c r="X1414">
        <v>7.2722515480773695E-3</v>
      </c>
      <c r="Y1414">
        <v>1.6734201468491395E-3</v>
      </c>
    </row>
    <row r="1415" spans="1:25" x14ac:dyDescent="0.25">
      <c r="A1415" s="1096"/>
      <c r="B1415" s="1455">
        <v>1165</v>
      </c>
      <c r="C1415" s="1100">
        <v>0.98900572903485418</v>
      </c>
      <c r="D1415" s="1100">
        <v>1.0228271040045986</v>
      </c>
      <c r="E1415" s="1100">
        <v>0.99214374037961628</v>
      </c>
      <c r="F1415" s="1100">
        <v>0.97566665217037341</v>
      </c>
      <c r="G1415" s="1100">
        <v>0.98803917072361525</v>
      </c>
      <c r="H1415" s="1100">
        <v>0.9678209553440722</v>
      </c>
      <c r="I1415" s="1100">
        <v>0.97791173653564345</v>
      </c>
      <c r="K1415">
        <v>1.284252014843269</v>
      </c>
      <c r="L1415">
        <v>0</v>
      </c>
      <c r="M1415">
        <v>5.9243114604512503E-4</v>
      </c>
      <c r="N1415">
        <v>5.3192923099618497E-2</v>
      </c>
      <c r="O1415">
        <v>7.7757637692053008E-3</v>
      </c>
      <c r="P1415">
        <v>1.5771468967828564E-2</v>
      </c>
      <c r="Q1415">
        <v>4.4664906221251468E-4</v>
      </c>
      <c r="R1415">
        <v>5.9062485936311397E-4</v>
      </c>
      <c r="S1415">
        <v>5.8200567320618714E-2</v>
      </c>
      <c r="T1415">
        <v>1.0074866147920607</v>
      </c>
      <c r="U1415">
        <v>0</v>
      </c>
      <c r="V1415">
        <v>9.7407409547977469E-2</v>
      </c>
      <c r="W1415">
        <v>3.5108191414120242E-2</v>
      </c>
      <c r="X1415">
        <v>7.2567469885555244E-3</v>
      </c>
      <c r="Y1415">
        <v>1.6074861677538336E-3</v>
      </c>
    </row>
    <row r="1416" spans="1:25" x14ac:dyDescent="0.25">
      <c r="A1416" s="1096"/>
      <c r="B1416" s="1455">
        <v>1166</v>
      </c>
      <c r="C1416" s="1100">
        <v>1.0065580135672072</v>
      </c>
      <c r="D1416" s="1100">
        <v>1.0248917625914544</v>
      </c>
      <c r="E1416" s="1100">
        <v>1.0117707752389884</v>
      </c>
      <c r="F1416" s="1100">
        <v>0.99882618191491823</v>
      </c>
      <c r="G1416" s="1100">
        <v>0.97931213982538656</v>
      </c>
      <c r="H1416" s="1100">
        <v>0.9746211671704863</v>
      </c>
      <c r="I1416" s="1100">
        <v>1.0283070473157958</v>
      </c>
      <c r="K1416">
        <v>1.3097943351404788</v>
      </c>
      <c r="L1416">
        <v>0</v>
      </c>
      <c r="M1416">
        <v>5.6234374935856346E-4</v>
      </c>
      <c r="N1416">
        <v>5.3576704038602978E-2</v>
      </c>
      <c r="O1416">
        <v>7.6387514918869687E-3</v>
      </c>
      <c r="P1416">
        <v>1.6342053536815296E-2</v>
      </c>
      <c r="Q1416">
        <v>4.4751191055678112E-4</v>
      </c>
      <c r="R1416">
        <v>5.6064116024872224E-4</v>
      </c>
      <c r="S1416">
        <v>6.0296578849588521E-2</v>
      </c>
      <c r="T1416">
        <v>1.0308190847517094</v>
      </c>
      <c r="U1416">
        <v>0</v>
      </c>
      <c r="V1416">
        <v>9.6570071035932667E-2</v>
      </c>
      <c r="W1416">
        <v>3.4952013874897492E-2</v>
      </c>
      <c r="X1416">
        <v>7.6273878167085456E-3</v>
      </c>
      <c r="Y1416">
        <v>1.5258804228882165E-3</v>
      </c>
    </row>
    <row r="1417" spans="1:25" x14ac:dyDescent="0.25">
      <c r="A1417" s="1096"/>
      <c r="B1417" s="1455">
        <v>1167</v>
      </c>
      <c r="C1417" s="1100">
        <v>1.0205499770063877</v>
      </c>
      <c r="D1417" s="1100">
        <v>0.99053986194453247</v>
      </c>
      <c r="E1417" s="1100">
        <v>0.99130366643329193</v>
      </c>
      <c r="F1417" s="1100">
        <v>0.99685723587225128</v>
      </c>
      <c r="G1417" s="1100">
        <v>0.98057158779591602</v>
      </c>
      <c r="H1417" s="1100">
        <v>1.0353706752953507</v>
      </c>
      <c r="I1417" s="1100">
        <v>1.014012026484445</v>
      </c>
      <c r="K1417">
        <v>1.3131055069728443</v>
      </c>
      <c r="L1417">
        <v>0</v>
      </c>
      <c r="M1417">
        <v>6.2320534834068415E-4</v>
      </c>
      <c r="N1417">
        <v>5.5825273781718844E-2</v>
      </c>
      <c r="O1417">
        <v>7.6325238538906132E-3</v>
      </c>
      <c r="P1417">
        <v>1.6088478342750054E-2</v>
      </c>
      <c r="Q1417">
        <v>4.3804943449434613E-4</v>
      </c>
      <c r="R1417">
        <v>6.2142920042794849E-4</v>
      </c>
      <c r="S1417">
        <v>6.1558644374645345E-2</v>
      </c>
      <c r="T1417">
        <v>1.029393431927724</v>
      </c>
      <c r="U1417">
        <v>0</v>
      </c>
      <c r="V1417">
        <v>9.6270814192008641E-2</v>
      </c>
      <c r="W1417">
        <v>3.6864107661665119E-2</v>
      </c>
      <c r="X1417">
        <v>7.3446341223753009E-3</v>
      </c>
      <c r="Y1417">
        <v>1.6913254294840105E-3</v>
      </c>
    </row>
    <row r="1418" spans="1:25" x14ac:dyDescent="0.25">
      <c r="A1418" s="1096"/>
      <c r="B1418" s="1455">
        <v>1168</v>
      </c>
      <c r="C1418" s="1100">
        <v>1.0215770039948375</v>
      </c>
      <c r="D1418" s="1100">
        <v>0.99420867984110339</v>
      </c>
      <c r="E1418" s="1100">
        <v>0.99059034354852571</v>
      </c>
      <c r="F1418" s="1100">
        <v>1.0211457493489435</v>
      </c>
      <c r="G1418" s="1100">
        <v>0.97948667769129216</v>
      </c>
      <c r="H1418" s="1100">
        <v>0.99091106764293502</v>
      </c>
      <c r="I1418" s="1100">
        <v>0.9754987486712382</v>
      </c>
      <c r="K1418">
        <v>1.3303157549254943</v>
      </c>
      <c r="L1418">
        <v>0</v>
      </c>
      <c r="M1418">
        <v>5.9584406554541013E-4</v>
      </c>
      <c r="N1418">
        <v>5.3252504720695579E-2</v>
      </c>
      <c r="O1418">
        <v>7.6134117144811587E-3</v>
      </c>
      <c r="P1418">
        <v>1.6367083405647392E-2</v>
      </c>
      <c r="Q1418">
        <v>4.3663777671407432E-4</v>
      </c>
      <c r="R1418">
        <v>5.9406970546785082E-4</v>
      </c>
      <c r="S1418">
        <v>5.7744479725951071E-2</v>
      </c>
      <c r="T1418">
        <v>1.0544965705022487</v>
      </c>
      <c r="U1418">
        <v>0</v>
      </c>
      <c r="V1418">
        <v>9.6193140250767875E-2</v>
      </c>
      <c r="W1418">
        <v>3.5180203643207751E-2</v>
      </c>
      <c r="X1418">
        <v>7.4166356426007734E-3</v>
      </c>
      <c r="Y1418">
        <v>1.6168619032577143E-3</v>
      </c>
    </row>
    <row r="1419" spans="1:25" x14ac:dyDescent="0.25">
      <c r="A1419" s="1096"/>
      <c r="B1419" s="1455">
        <v>1169</v>
      </c>
      <c r="C1419" s="1100">
        <v>1.0195789236250012</v>
      </c>
      <c r="D1419" s="1100">
        <v>1.008965052838571</v>
      </c>
      <c r="E1419" s="1100">
        <v>1.0062975403377536</v>
      </c>
      <c r="F1419" s="1100">
        <v>1.0454629492071894</v>
      </c>
      <c r="G1419" s="1100">
        <v>1.0123375783752131</v>
      </c>
      <c r="H1419" s="1100">
        <v>0.999977081194944</v>
      </c>
      <c r="I1419" s="1100">
        <v>0.98338863671028376</v>
      </c>
      <c r="K1419">
        <v>1.3593030988461057</v>
      </c>
      <c r="L1419">
        <v>0</v>
      </c>
      <c r="M1419">
        <v>5.7973868572235899E-4</v>
      </c>
      <c r="N1419">
        <v>5.4332937976708726E-2</v>
      </c>
      <c r="O1419">
        <v>7.5872752077686383E-3</v>
      </c>
      <c r="P1419">
        <v>1.6925871129068758E-2</v>
      </c>
      <c r="Q1419">
        <v>4.420695979085823E-4</v>
      </c>
      <c r="R1419">
        <v>5.7802793767248203E-4</v>
      </c>
      <c r="S1419">
        <v>5.814676327808796E-2</v>
      </c>
      <c r="T1419">
        <v>1.0791184305953099</v>
      </c>
      <c r="U1419">
        <v>0</v>
      </c>
      <c r="V1419">
        <v>9.7847257596895623E-2</v>
      </c>
      <c r="W1419">
        <v>3.5560030665345903E-2</v>
      </c>
      <c r="X1419">
        <v>7.7709720475742016E-3</v>
      </c>
      <c r="Y1419">
        <v>1.5732014994860528E-3</v>
      </c>
    </row>
    <row r="1420" spans="1:25" x14ac:dyDescent="0.25">
      <c r="A1420" s="1096"/>
      <c r="B1420" s="1455">
        <v>1170</v>
      </c>
      <c r="C1420" s="1100">
        <v>1.0001329299231165</v>
      </c>
      <c r="D1420" s="1100">
        <v>1.0173193781677081</v>
      </c>
      <c r="E1420" s="1100">
        <v>1.0363905070080708</v>
      </c>
      <c r="F1420" s="1100">
        <v>0.99389438243750472</v>
      </c>
      <c r="G1420" s="1100">
        <v>1.0014674773372403</v>
      </c>
      <c r="H1420" s="1100">
        <v>0.99562567747021291</v>
      </c>
      <c r="I1420" s="1100">
        <v>1.0437771023002167</v>
      </c>
      <c r="K1420">
        <v>1.3125675752889703</v>
      </c>
      <c r="L1420">
        <v>0</v>
      </c>
      <c r="M1420">
        <v>5.5089780755324732E-4</v>
      </c>
      <c r="N1420">
        <v>5.6535266425977469E-2</v>
      </c>
      <c r="O1420">
        <v>7.7166865676906561E-3</v>
      </c>
      <c r="P1420">
        <v>1.66062419321359E-2</v>
      </c>
      <c r="Q1420">
        <v>4.6325377250157178E-4</v>
      </c>
      <c r="R1420">
        <v>5.4926506100734605E-4</v>
      </c>
      <c r="S1420">
        <v>6.2532707962719758E-2</v>
      </c>
      <c r="T1420">
        <v>1.0250184701254592</v>
      </c>
      <c r="U1420">
        <v>0</v>
      </c>
      <c r="V1420">
        <v>9.7827910888015554E-2</v>
      </c>
      <c r="W1420">
        <v>3.6356331074828468E-2</v>
      </c>
      <c r="X1420">
        <v>8.0174208553026333E-3</v>
      </c>
      <c r="Y1420">
        <v>1.4949184308832974E-3</v>
      </c>
    </row>
    <row r="1421" spans="1:25" x14ac:dyDescent="0.25">
      <c r="A1421" s="1096"/>
      <c r="B1421" s="1455">
        <v>1171</v>
      </c>
      <c r="C1421" s="1100">
        <v>0.97343668286090879</v>
      </c>
      <c r="D1421" s="1100">
        <v>0.99993046678690733</v>
      </c>
      <c r="E1421" s="1100">
        <v>1.0207423189002396</v>
      </c>
      <c r="F1421" s="1100">
        <v>1.0171593326541883</v>
      </c>
      <c r="G1421" s="1100">
        <v>0.99037652713860425</v>
      </c>
      <c r="H1421" s="1100">
        <v>0.96639605392312711</v>
      </c>
      <c r="I1421" s="1100">
        <v>1.0064682045107924</v>
      </c>
      <c r="K1421">
        <v>1.335955674591528</v>
      </c>
      <c r="L1421">
        <v>0</v>
      </c>
      <c r="M1421">
        <v>5.7152243926895832E-4</v>
      </c>
      <c r="N1421">
        <v>5.5944021287431603E-2</v>
      </c>
      <c r="O1421">
        <v>7.9792161617083818E-3</v>
      </c>
      <c r="P1421">
        <v>1.6745620055155216E-2</v>
      </c>
      <c r="Q1421">
        <v>4.7165443484438772E-4</v>
      </c>
      <c r="R1421">
        <v>5.697773326856254E-4</v>
      </c>
      <c r="S1421">
        <v>6.1587752518258383E-2</v>
      </c>
      <c r="T1421">
        <v>1.0494722437689583</v>
      </c>
      <c r="U1421">
        <v>0</v>
      </c>
      <c r="V1421">
        <v>9.7953426517373904E-2</v>
      </c>
      <c r="W1421">
        <v>3.630476467886759E-2</v>
      </c>
      <c r="X1421">
        <v>7.9479742029885773E-3</v>
      </c>
      <c r="Y1421">
        <v>1.5507460725230323E-3</v>
      </c>
    </row>
    <row r="1422" spans="1:25" x14ac:dyDescent="0.25">
      <c r="A1422" s="1096"/>
      <c r="B1422" s="1455">
        <v>1172</v>
      </c>
      <c r="C1422" s="1100">
        <v>0.99434316746587748</v>
      </c>
      <c r="D1422" s="1100">
        <v>0.9843943488201744</v>
      </c>
      <c r="E1422" s="1100">
        <v>0.98037133207706317</v>
      </c>
      <c r="F1422" s="1100">
        <v>0.99276286337795594</v>
      </c>
      <c r="G1422" s="1100">
        <v>1.0249036206006423</v>
      </c>
      <c r="H1422" s="1100">
        <v>1.012273546069473</v>
      </c>
      <c r="I1422" s="1100">
        <v>1.0013903827108019</v>
      </c>
      <c r="K1422">
        <v>1.3121233073470626</v>
      </c>
      <c r="L1422">
        <v>0</v>
      </c>
      <c r="M1422">
        <v>6.4126711398209031E-4</v>
      </c>
      <c r="N1422">
        <v>5.5571371114203745E-2</v>
      </c>
      <c r="O1422">
        <v>7.8505016878984563E-3</v>
      </c>
      <c r="P1422">
        <v>1.5945255536289712E-2</v>
      </c>
      <c r="Q1422">
        <v>4.4559702640275259E-4</v>
      </c>
      <c r="R1422">
        <v>6.3939778861498483E-4</v>
      </c>
      <c r="S1422">
        <v>6.1876933866824177E-2</v>
      </c>
      <c r="T1422">
        <v>1.0254930611231639</v>
      </c>
      <c r="U1422">
        <v>0</v>
      </c>
      <c r="V1422">
        <v>9.9043030305467142E-2</v>
      </c>
      <c r="W1422">
        <v>3.6938361307520325E-2</v>
      </c>
      <c r="X1422">
        <v>7.2208347014735552E-3</v>
      </c>
      <c r="Y1422">
        <v>1.7402300031856195E-3</v>
      </c>
    </row>
    <row r="1423" spans="1:25" x14ac:dyDescent="0.25">
      <c r="A1423" s="1096"/>
      <c r="B1423" s="1455">
        <v>1173</v>
      </c>
      <c r="C1423" s="1100">
        <v>1.0150446089159821</v>
      </c>
      <c r="D1423" s="1100">
        <v>0.99610405199806751</v>
      </c>
      <c r="E1423" s="1100">
        <v>1.0298827834421564</v>
      </c>
      <c r="F1423" s="1100">
        <v>0.99743961923988633</v>
      </c>
      <c r="G1423" s="1100">
        <v>0.98403358078655001</v>
      </c>
      <c r="H1423" s="1100">
        <v>0.97174655241220842</v>
      </c>
      <c r="I1423" s="1100">
        <v>0.98424435250924003</v>
      </c>
      <c r="K1423">
        <v>1.3071635615935373</v>
      </c>
      <c r="L1423">
        <v>0</v>
      </c>
      <c r="M1423">
        <v>5.4156883597694801E-4</v>
      </c>
      <c r="N1423">
        <v>5.449445395608097E-2</v>
      </c>
      <c r="O1423">
        <v>7.6661051241911186E-3</v>
      </c>
      <c r="P1423">
        <v>1.6502172743081953E-2</v>
      </c>
      <c r="Q1423">
        <v>4.5727068544172564E-4</v>
      </c>
      <c r="R1423">
        <v>5.3992429584834994E-4</v>
      </c>
      <c r="S1423">
        <v>5.8045753774696757E-2</v>
      </c>
      <c r="T1423">
        <v>1.0288615579092188</v>
      </c>
      <c r="U1423">
        <v>0</v>
      </c>
      <c r="V1423">
        <v>9.661277971086013E-2</v>
      </c>
      <c r="W1423">
        <v>3.5176243786074389E-2</v>
      </c>
      <c r="X1423">
        <v>7.8793724967165021E-3</v>
      </c>
      <c r="Y1423">
        <v>1.4694959473029177E-3</v>
      </c>
    </row>
    <row r="1424" spans="1:25" x14ac:dyDescent="0.25">
      <c r="A1424" s="1096"/>
      <c r="B1424" s="1455">
        <v>1174</v>
      </c>
      <c r="C1424" s="1100">
        <v>1.0095040388273595</v>
      </c>
      <c r="D1424" s="1100">
        <v>1.0320409973154123</v>
      </c>
      <c r="E1424" s="1100">
        <v>1.0082703853227533</v>
      </c>
      <c r="F1424" s="1100">
        <v>1.0091101176418402</v>
      </c>
      <c r="G1424" s="1100">
        <v>0.96881768447818484</v>
      </c>
      <c r="H1424" s="1100">
        <v>1.0052718648966976</v>
      </c>
      <c r="I1424" s="1100">
        <v>1.0359317287836645</v>
      </c>
      <c r="K1424">
        <v>1.3230828461470157</v>
      </c>
      <c r="L1424">
        <v>0</v>
      </c>
      <c r="M1424">
        <v>5.8093957787955914E-4</v>
      </c>
      <c r="N1424">
        <v>5.4771649814765816E-2</v>
      </c>
      <c r="O1424">
        <v>7.5944690463309811E-3</v>
      </c>
      <c r="P1424">
        <v>1.6452457532845188E-2</v>
      </c>
      <c r="Q1424">
        <v>4.433635638321201E-4</v>
      </c>
      <c r="R1424">
        <v>5.7923431532620696E-4</v>
      </c>
      <c r="S1424">
        <v>6.1285712831790344E-2</v>
      </c>
      <c r="T1424">
        <v>1.0415365055828434</v>
      </c>
      <c r="U1424">
        <v>0</v>
      </c>
      <c r="V1424">
        <v>9.5986602969987414E-2</v>
      </c>
      <c r="W1424">
        <v>3.5805393045298652E-2</v>
      </c>
      <c r="X1424">
        <v>7.6319121600975596E-3</v>
      </c>
      <c r="Y1424">
        <v>1.5764848617772055E-3</v>
      </c>
    </row>
    <row r="1425" spans="1:25" x14ac:dyDescent="0.25">
      <c r="A1425" s="1096"/>
      <c r="B1425" s="1455">
        <v>1175</v>
      </c>
      <c r="C1425" s="1100">
        <v>0.98641675041975529</v>
      </c>
      <c r="D1425" s="1100">
        <v>0.99061413474614279</v>
      </c>
      <c r="E1425" s="1100">
        <v>1.015079528926631</v>
      </c>
      <c r="F1425" s="1100">
        <v>0.99110774131531665</v>
      </c>
      <c r="G1425" s="1100">
        <v>1.0246586230514534</v>
      </c>
      <c r="H1425" s="1100">
        <v>1.0047810790122291</v>
      </c>
      <c r="I1425" s="1100">
        <v>0.99890026638024454</v>
      </c>
      <c r="K1425">
        <v>1.3125296433736966</v>
      </c>
      <c r="L1425">
        <v>0</v>
      </c>
      <c r="M1425">
        <v>5.9557761461043798E-4</v>
      </c>
      <c r="N1425">
        <v>5.7317759119938132E-2</v>
      </c>
      <c r="O1425">
        <v>7.9023391794637333E-3</v>
      </c>
      <c r="P1425">
        <v>1.6328940191990028E-2</v>
      </c>
      <c r="Q1425">
        <v>4.6448492797451757E-4</v>
      </c>
      <c r="R1425">
        <v>5.9382853033247219E-4</v>
      </c>
      <c r="S1425">
        <v>6.1811493682397439E-2</v>
      </c>
      <c r="T1425">
        <v>1.0227571182327673</v>
      </c>
      <c r="U1425">
        <v>0</v>
      </c>
      <c r="V1425">
        <v>9.9270551702259791E-2</v>
      </c>
      <c r="W1425">
        <v>3.7319889377941486E-2</v>
      </c>
      <c r="X1425">
        <v>7.7426105391995752E-3</v>
      </c>
      <c r="Y1425">
        <v>1.6162055040425752E-3</v>
      </c>
    </row>
    <row r="1426" spans="1:25" x14ac:dyDescent="0.25">
      <c r="A1426" s="1096"/>
      <c r="B1426" s="1455">
        <v>1176</v>
      </c>
      <c r="C1426" s="1100">
        <v>1.0141588447309327</v>
      </c>
      <c r="D1426" s="1100">
        <v>1.0034707681414594</v>
      </c>
      <c r="E1426" s="1100">
        <v>0.98257932665259728</v>
      </c>
      <c r="F1426" s="1100">
        <v>1.038537379265777</v>
      </c>
      <c r="G1426" s="1100">
        <v>1.0196678654874742</v>
      </c>
      <c r="H1426" s="1100">
        <v>0.99564736438141344</v>
      </c>
      <c r="I1426" s="1100">
        <v>1.0027195347012274</v>
      </c>
      <c r="K1426">
        <v>1.353013531558015</v>
      </c>
      <c r="L1426">
        <v>0</v>
      </c>
      <c r="M1426">
        <v>6.1088489714364303E-4</v>
      </c>
      <c r="N1426">
        <v>5.3290694447846509E-2</v>
      </c>
      <c r="O1426">
        <v>7.6387752258533946E-3</v>
      </c>
      <c r="P1426">
        <v>1.6567328271444099E-2</v>
      </c>
      <c r="Q1426">
        <v>4.3455269556092916E-4</v>
      </c>
      <c r="R1426">
        <v>6.0907440077471097E-4</v>
      </c>
      <c r="S1426">
        <v>5.9628068183418877E-2</v>
      </c>
      <c r="T1426">
        <v>1.0727071847209755</v>
      </c>
      <c r="U1426">
        <v>0</v>
      </c>
      <c r="V1426">
        <v>9.8305385478169874E-2</v>
      </c>
      <c r="W1426">
        <v>3.5375252685190595E-2</v>
      </c>
      <c r="X1426">
        <v>7.4104006083364725E-3</v>
      </c>
      <c r="Y1426">
        <v>1.6576997375865089E-3</v>
      </c>
    </row>
    <row r="1427" spans="1:25" x14ac:dyDescent="0.25">
      <c r="A1427" s="1096"/>
      <c r="B1427" s="1455">
        <v>1177</v>
      </c>
      <c r="C1427" s="1100">
        <v>0.99187097334193497</v>
      </c>
      <c r="D1427" s="1100">
        <v>1.0159617110259411</v>
      </c>
      <c r="E1427" s="1100">
        <v>1.0222265621364168</v>
      </c>
      <c r="F1427" s="1100">
        <v>1.0389281069630614</v>
      </c>
      <c r="G1427" s="1100">
        <v>0.9996360108374549</v>
      </c>
      <c r="H1427" s="1100">
        <v>1.0184850818160234</v>
      </c>
      <c r="I1427" s="1100">
        <v>0.97363961904310381</v>
      </c>
      <c r="K1427">
        <v>1.3591885979102032</v>
      </c>
      <c r="L1427">
        <v>0</v>
      </c>
      <c r="M1427">
        <v>5.8557271096576697E-4</v>
      </c>
      <c r="N1427">
        <v>5.7585567344079609E-2</v>
      </c>
      <c r="O1427">
        <v>7.7816228888404095E-3</v>
      </c>
      <c r="P1427">
        <v>1.7045680182849389E-2</v>
      </c>
      <c r="Q1427">
        <v>4.6065328519733411E-4</v>
      </c>
      <c r="R1427">
        <v>5.8387614802694855E-4</v>
      </c>
      <c r="S1427">
        <v>5.9526383508125398E-2</v>
      </c>
      <c r="T1427">
        <v>1.0718876495987939</v>
      </c>
      <c r="U1427">
        <v>0</v>
      </c>
      <c r="V1427">
        <v>9.7929781979340991E-2</v>
      </c>
      <c r="W1427">
        <v>3.7337644033765119E-2</v>
      </c>
      <c r="X1427">
        <v>8.0461932519397764E-3</v>
      </c>
      <c r="Y1427">
        <v>1.5891184002088858E-3</v>
      </c>
    </row>
    <row r="1428" spans="1:25" x14ac:dyDescent="0.25">
      <c r="A1428" s="1096"/>
      <c r="B1428" s="1455">
        <v>1178</v>
      </c>
      <c r="C1428" s="1100">
        <v>0.99979402880694146</v>
      </c>
      <c r="D1428" s="1100">
        <v>0.99645414693850043</v>
      </c>
      <c r="E1428" s="1100">
        <v>0.97797644666525607</v>
      </c>
      <c r="F1428" s="1100">
        <v>0.9876670067726484</v>
      </c>
      <c r="G1428" s="1100">
        <v>0.99773194173736679</v>
      </c>
      <c r="H1428" s="1100">
        <v>0.98214238273639065</v>
      </c>
      <c r="I1428" s="1100">
        <v>0.97840786647686684</v>
      </c>
      <c r="K1428">
        <v>1.2981871355867693</v>
      </c>
      <c r="L1428">
        <v>0</v>
      </c>
      <c r="M1428">
        <v>6.1883717640460025E-4</v>
      </c>
      <c r="N1428">
        <v>5.3235636186149723E-2</v>
      </c>
      <c r="O1428">
        <v>7.769178133642243E-3</v>
      </c>
      <c r="P1428">
        <v>1.5786241635633066E-2</v>
      </c>
      <c r="Q1428">
        <v>4.3990847094578755E-4</v>
      </c>
      <c r="R1428">
        <v>6.1697789227821345E-4</v>
      </c>
      <c r="S1428">
        <v>5.8832578285039495E-2</v>
      </c>
      <c r="T1428">
        <v>1.0203010773532377</v>
      </c>
      <c r="U1428">
        <v>0</v>
      </c>
      <c r="V1428">
        <v>9.7590228686230504E-2</v>
      </c>
      <c r="W1428">
        <v>3.5437036880767811E-2</v>
      </c>
      <c r="X1428">
        <v>7.1178988031766399E-3</v>
      </c>
      <c r="Y1428">
        <v>1.6792104360737689E-3</v>
      </c>
    </row>
    <row r="1429" spans="1:25" x14ac:dyDescent="0.25">
      <c r="A1429" s="1096"/>
      <c r="B1429" s="1455">
        <v>1179</v>
      </c>
      <c r="C1429" s="1100">
        <v>0.97289919645790723</v>
      </c>
      <c r="D1429" s="1100">
        <v>0.9972823735093187</v>
      </c>
      <c r="E1429" s="1100">
        <v>1.0076589562750853</v>
      </c>
      <c r="F1429" s="1100">
        <v>1.0243861801010807</v>
      </c>
      <c r="G1429" s="1100">
        <v>0.98550806228068344</v>
      </c>
      <c r="H1429" s="1100">
        <v>1.028046621528695</v>
      </c>
      <c r="I1429" s="1100">
        <v>1.0334226225642948</v>
      </c>
      <c r="K1429">
        <v>1.3525231853414623</v>
      </c>
      <c r="L1429">
        <v>0</v>
      </c>
      <c r="M1429">
        <v>6.2575377051049639E-4</v>
      </c>
      <c r="N1429">
        <v>5.8891805818425964E-2</v>
      </c>
      <c r="O1429">
        <v>7.9887852895128147E-3</v>
      </c>
      <c r="P1429">
        <v>1.6741081203950424E-2</v>
      </c>
      <c r="Q1429">
        <v>4.6609837546618632E-4</v>
      </c>
      <c r="R1429">
        <v>6.2395765408997659E-4</v>
      </c>
      <c r="S1429">
        <v>6.5351190771476636E-2</v>
      </c>
      <c r="T1429">
        <v>1.0573219382136707</v>
      </c>
      <c r="U1429">
        <v>0</v>
      </c>
      <c r="V1429">
        <v>9.7717175768320078E-2</v>
      </c>
      <c r="W1429">
        <v>3.8512732059281678E-2</v>
      </c>
      <c r="X1429">
        <v>7.8359669109296769E-3</v>
      </c>
      <c r="Y1429">
        <v>1.6982070468475252E-3</v>
      </c>
    </row>
    <row r="1430" spans="1:25" x14ac:dyDescent="0.25">
      <c r="A1430" s="1096"/>
      <c r="B1430" s="1455">
        <v>1180</v>
      </c>
      <c r="C1430" s="1100">
        <v>0.99876704590683696</v>
      </c>
      <c r="D1430" s="1100">
        <v>1.0320499178118223</v>
      </c>
      <c r="E1430" s="1100">
        <v>1.0191071557001972</v>
      </c>
      <c r="F1430" s="1100">
        <v>0.9506099697871967</v>
      </c>
      <c r="G1430" s="1100">
        <v>1.0202184412943862</v>
      </c>
      <c r="H1430" s="1100">
        <v>1.0016855289155349</v>
      </c>
      <c r="I1430" s="1100">
        <v>0.97800321636062537</v>
      </c>
      <c r="K1430">
        <v>1.2628614637888449</v>
      </c>
      <c r="L1430">
        <v>0</v>
      </c>
      <c r="M1430">
        <v>5.7205558620475783E-4</v>
      </c>
      <c r="N1430">
        <v>5.5726674343680109E-2</v>
      </c>
      <c r="O1430">
        <v>7.6787205101796693E-3</v>
      </c>
      <c r="P1430">
        <v>1.5743046975096528E-2</v>
      </c>
      <c r="Q1430">
        <v>4.5315475269507499E-4</v>
      </c>
      <c r="R1430">
        <v>5.7037038931241439E-4</v>
      </c>
      <c r="S1430">
        <v>5.8384705832102334E-2</v>
      </c>
      <c r="T1430">
        <v>0.98085410112097915</v>
      </c>
      <c r="U1430">
        <v>0</v>
      </c>
      <c r="V1430">
        <v>9.8749532084951394E-2</v>
      </c>
      <c r="W1430">
        <v>3.6198332687664279E-2</v>
      </c>
      <c r="X1430">
        <v>7.5225205012280439E-3</v>
      </c>
      <c r="Y1430">
        <v>1.5523601771600872E-3</v>
      </c>
    </row>
    <row r="1431" spans="1:25" x14ac:dyDescent="0.25">
      <c r="A1431" s="1096"/>
      <c r="B1431" s="1455">
        <v>1181</v>
      </c>
      <c r="C1431" s="1100">
        <v>0.99135797034521922</v>
      </c>
      <c r="D1431" s="1100">
        <v>1.0168763402436751</v>
      </c>
      <c r="E1431" s="1100">
        <v>0.98323260927434375</v>
      </c>
      <c r="F1431" s="1100">
        <v>0.96548114261915596</v>
      </c>
      <c r="G1431" s="1100">
        <v>0.96726106774329546</v>
      </c>
      <c r="H1431" s="1100">
        <v>1.0129650202577729</v>
      </c>
      <c r="I1431" s="1100">
        <v>1.0108285719848171</v>
      </c>
      <c r="K1431">
        <v>1.2795833702199966</v>
      </c>
      <c r="L1431">
        <v>0</v>
      </c>
      <c r="M1431">
        <v>6.3158450090796E-4</v>
      </c>
      <c r="N1431">
        <v>5.5208223535950701E-2</v>
      </c>
      <c r="O1431">
        <v>7.7732528916584758E-3</v>
      </c>
      <c r="P1431">
        <v>1.5558875793940538E-2</v>
      </c>
      <c r="Q1431">
        <v>4.4249607017997155E-4</v>
      </c>
      <c r="R1431">
        <v>6.2974465761607228E-4</v>
      </c>
      <c r="S1431">
        <v>6.1592746226621489E-2</v>
      </c>
      <c r="T1431">
        <v>0.99722816656393531</v>
      </c>
      <c r="U1431">
        <v>0</v>
      </c>
      <c r="V1431">
        <v>9.6332999608645276E-2</v>
      </c>
      <c r="W1431">
        <v>3.663372010310572E-2</v>
      </c>
      <c r="X1431">
        <v>7.1007719064910668E-3</v>
      </c>
      <c r="Y1431">
        <v>1.7139573627603583E-3</v>
      </c>
    </row>
    <row r="1432" spans="1:25" x14ac:dyDescent="0.25">
      <c r="A1432" s="1096"/>
      <c r="B1432" s="1455">
        <v>1182</v>
      </c>
      <c r="C1432" s="1100">
        <v>0.97124330817870885</v>
      </c>
      <c r="D1432" s="1100">
        <v>0.99974729935200679</v>
      </c>
      <c r="E1432" s="1100">
        <v>1.0166065374149926</v>
      </c>
      <c r="F1432" s="1100">
        <v>1.0068274111238056</v>
      </c>
      <c r="G1432" s="1100">
        <v>1.0091636005161346</v>
      </c>
      <c r="H1432" s="1100">
        <v>0.99345733098578703</v>
      </c>
      <c r="I1432" s="1100">
        <v>0.98798524151981282</v>
      </c>
      <c r="K1432">
        <v>1.3285655992551906</v>
      </c>
      <c r="L1432">
        <v>0</v>
      </c>
      <c r="M1432">
        <v>5.9398472812468889E-4</v>
      </c>
      <c r="N1432">
        <v>5.7426558446754712E-2</v>
      </c>
      <c r="O1432">
        <v>7.9967734229576624E-3</v>
      </c>
      <c r="P1432">
        <v>1.6560558905986386E-2</v>
      </c>
      <c r="Q1432">
        <v>4.7075132379349478E-4</v>
      </c>
      <c r="R1432">
        <v>5.9222043850678109E-4</v>
      </c>
      <c r="S1432">
        <v>6.1436078109722056E-2</v>
      </c>
      <c r="T1432">
        <v>1.038933731744256</v>
      </c>
      <c r="U1432">
        <v>0</v>
      </c>
      <c r="V1432">
        <v>9.8915215725208047E-2</v>
      </c>
      <c r="W1432">
        <v>3.7357230619174238E-2</v>
      </c>
      <c r="X1432">
        <v>7.8586364387563529E-3</v>
      </c>
      <c r="Y1432">
        <v>1.6118288082003726E-3</v>
      </c>
    </row>
    <row r="1433" spans="1:25" x14ac:dyDescent="0.25">
      <c r="A1433" s="1096"/>
      <c r="B1433" s="1455">
        <v>1183</v>
      </c>
      <c r="C1433" s="1100">
        <v>1.0127807887382096</v>
      </c>
      <c r="D1433" s="1100">
        <v>1.0139219350920812</v>
      </c>
      <c r="E1433" s="1100">
        <v>0.9924621918303157</v>
      </c>
      <c r="F1433" s="1100">
        <v>1.0033805136962655</v>
      </c>
      <c r="G1433" s="1100">
        <v>1.0203188564697228</v>
      </c>
      <c r="H1433" s="1100">
        <v>0.97204130060040805</v>
      </c>
      <c r="I1433" s="1100">
        <v>0.97687563011525658</v>
      </c>
      <c r="K1433">
        <v>1.3117305197896769</v>
      </c>
      <c r="L1433">
        <v>0</v>
      </c>
      <c r="M1433">
        <v>5.8269793625883464E-4</v>
      </c>
      <c r="N1433">
        <v>5.2370087086590127E-2</v>
      </c>
      <c r="O1433">
        <v>7.6199103894012705E-3</v>
      </c>
      <c r="P1433">
        <v>1.6162398379680507E-2</v>
      </c>
      <c r="Q1433">
        <v>4.3783738826834131E-4</v>
      </c>
      <c r="R1433">
        <v>5.8092903911598746E-4</v>
      </c>
      <c r="S1433">
        <v>5.7165738104775939E-2</v>
      </c>
      <c r="T1433">
        <v>1.0360947398487168</v>
      </c>
      <c r="U1433">
        <v>0</v>
      </c>
      <c r="V1433">
        <v>9.8381101668819096E-2</v>
      </c>
      <c r="W1433">
        <v>3.4558524887532173E-2</v>
      </c>
      <c r="X1433">
        <v>7.360853591768861E-3</v>
      </c>
      <c r="Y1433">
        <v>1.5810973412674414E-3</v>
      </c>
    </row>
    <row r="1434" spans="1:25" x14ac:dyDescent="0.25">
      <c r="A1434" s="1096"/>
      <c r="B1434" s="1455">
        <v>1184</v>
      </c>
      <c r="C1434" s="1100">
        <v>1.0152418564897834</v>
      </c>
      <c r="D1434" s="1100">
        <v>0.98099808296733704</v>
      </c>
      <c r="E1434" s="1100">
        <v>0.96954959341424363</v>
      </c>
      <c r="F1434" s="1100">
        <v>1.0181555747070508</v>
      </c>
      <c r="G1434" s="1100">
        <v>1.0145985396812507</v>
      </c>
      <c r="H1434" s="1100">
        <v>0.9832341312367896</v>
      </c>
      <c r="I1434" s="1100">
        <v>0.99245969191079531</v>
      </c>
      <c r="K1434">
        <v>1.3298829605155686</v>
      </c>
      <c r="L1434">
        <v>0</v>
      </c>
      <c r="M1434">
        <v>6.2470582320205625E-4</v>
      </c>
      <c r="N1434">
        <v>5.2387160618918169E-2</v>
      </c>
      <c r="O1434">
        <v>7.6969102583409514E-3</v>
      </c>
      <c r="P1434">
        <v>1.6120047842313131E-2</v>
      </c>
      <c r="Q1434">
        <v>4.3208677458168979E-4</v>
      </c>
      <c r="R1434">
        <v>6.2283099090350714E-4</v>
      </c>
      <c r="S1434">
        <v>5.9290555833133959E-2</v>
      </c>
      <c r="T1434">
        <v>1.0520591484449018</v>
      </c>
      <c r="U1434">
        <v>0</v>
      </c>
      <c r="V1434">
        <v>9.8019736157877402E-2</v>
      </c>
      <c r="W1434">
        <v>3.5051015923203366E-2</v>
      </c>
      <c r="X1434">
        <v>7.1330328535380988E-3</v>
      </c>
      <c r="Y1434">
        <v>1.6951406410583745E-3</v>
      </c>
    </row>
    <row r="1435" spans="1:25" x14ac:dyDescent="0.25">
      <c r="A1435" s="1096"/>
      <c r="B1435" s="1455">
        <v>1185</v>
      </c>
      <c r="C1435" s="1100">
        <v>0.98264367703510191</v>
      </c>
      <c r="D1435" s="1100">
        <v>0.99770025045262856</v>
      </c>
      <c r="E1435" s="1100">
        <v>1.0244106379083924</v>
      </c>
      <c r="F1435" s="1100">
        <v>1.0407443590089731</v>
      </c>
      <c r="G1435" s="1100">
        <v>0.99056072004340934</v>
      </c>
      <c r="H1435" s="1100">
        <v>0.97472162745993784</v>
      </c>
      <c r="I1435" s="1100">
        <v>0.97887736843004092</v>
      </c>
      <c r="K1435">
        <v>1.3586987810275599</v>
      </c>
      <c r="L1435">
        <v>0</v>
      </c>
      <c r="M1435">
        <v>5.6720783306804772E-4</v>
      </c>
      <c r="N1435">
        <v>5.614087769534306E-2</v>
      </c>
      <c r="O1435">
        <v>7.912437327433252E-3</v>
      </c>
      <c r="P1435">
        <v>1.7097156106095825E-2</v>
      </c>
      <c r="Q1435">
        <v>4.6941345400848517E-4</v>
      </c>
      <c r="R1435">
        <v>5.6549069413305494E-4</v>
      </c>
      <c r="S1435">
        <v>5.966670879275441E-2</v>
      </c>
      <c r="T1435">
        <v>1.0736954372565652</v>
      </c>
      <c r="U1435">
        <v>0</v>
      </c>
      <c r="V1435">
        <v>9.7727860705115327E-2</v>
      </c>
      <c r="W1435">
        <v>3.6354565882791894E-2</v>
      </c>
      <c r="X1435">
        <v>8.0969616909138328E-3</v>
      </c>
      <c r="Y1435">
        <v>1.5390792554729543E-3</v>
      </c>
    </row>
    <row r="1436" spans="1:25" x14ac:dyDescent="0.25">
      <c r="A1436" s="1096"/>
      <c r="B1436" s="1455">
        <v>1186</v>
      </c>
      <c r="C1436" s="1100">
        <v>1.0013458678364584</v>
      </c>
      <c r="D1436" s="1100">
        <v>0.99747074429244531</v>
      </c>
      <c r="E1436" s="1100">
        <v>1.0069127045572677</v>
      </c>
      <c r="F1436" s="1100">
        <v>0.9925331270290606</v>
      </c>
      <c r="G1436" s="1100">
        <v>0.9803368082625864</v>
      </c>
      <c r="H1436" s="1100">
        <v>1.0126940717423398</v>
      </c>
      <c r="I1436" s="1100">
        <v>1.0217717619748365</v>
      </c>
      <c r="K1436">
        <v>1.3103154845288953</v>
      </c>
      <c r="L1436">
        <v>0</v>
      </c>
      <c r="M1436">
        <v>5.9978124684053789E-4</v>
      </c>
      <c r="N1436">
        <v>5.6317931473106937E-2</v>
      </c>
      <c r="O1436">
        <v>7.7610666928569693E-3</v>
      </c>
      <c r="P1436">
        <v>1.622608106690572E-2</v>
      </c>
      <c r="Q1436">
        <v>4.5247417188952255E-4</v>
      </c>
      <c r="R1436">
        <v>5.9803358085634977E-4</v>
      </c>
      <c r="S1436">
        <v>6.2292836077524651E-2</v>
      </c>
      <c r="T1436">
        <v>1.0244666410705989</v>
      </c>
      <c r="U1436">
        <v>0</v>
      </c>
      <c r="V1436">
        <v>9.6742419620828204E-2</v>
      </c>
      <c r="W1436">
        <v>3.6845772893882106E-2</v>
      </c>
      <c r="X1436">
        <v>7.5843588619123404E-3</v>
      </c>
      <c r="Y1436">
        <v>1.6276502653740374E-3</v>
      </c>
    </row>
    <row r="1437" spans="1:25" x14ac:dyDescent="0.25">
      <c r="A1437" s="1096"/>
      <c r="B1437" s="1455">
        <v>1187</v>
      </c>
      <c r="C1437" s="1100">
        <v>0.97658437333886006</v>
      </c>
      <c r="D1437" s="1100">
        <v>1.0257510787625386</v>
      </c>
      <c r="E1437" s="1100">
        <v>1.0205432247575292</v>
      </c>
      <c r="F1437" s="1100">
        <v>0.96762330218068449</v>
      </c>
      <c r="G1437" s="1100">
        <v>1.0052993580085641</v>
      </c>
      <c r="H1437" s="1100">
        <v>0.98899088753428765</v>
      </c>
      <c r="I1437" s="1100">
        <v>0.98462479477031661</v>
      </c>
      <c r="K1437">
        <v>1.2836321019725898</v>
      </c>
      <c r="L1437">
        <v>0</v>
      </c>
      <c r="M1437">
        <v>5.7732374005434748E-4</v>
      </c>
      <c r="N1437">
        <v>5.6481908526844003E-2</v>
      </c>
      <c r="O1437">
        <v>7.8727516945310688E-3</v>
      </c>
      <c r="P1437">
        <v>1.6021358140746931E-2</v>
      </c>
      <c r="Q1437">
        <v>4.6526921414242578E-4</v>
      </c>
      <c r="R1437">
        <v>5.7560119359307735E-4</v>
      </c>
      <c r="S1437">
        <v>5.9926923469288379E-2</v>
      </c>
      <c r="T1437">
        <v>0.99836817880179851</v>
      </c>
      <c r="U1437">
        <v>0</v>
      </c>
      <c r="V1437">
        <v>9.8593133780421977E-2</v>
      </c>
      <c r="W1437">
        <v>3.6658093117442489E-2</v>
      </c>
      <c r="X1437">
        <v>7.6796110717579549E-3</v>
      </c>
      <c r="Y1437">
        <v>1.5665967020778839E-3</v>
      </c>
    </row>
    <row r="1438" spans="1:25" x14ac:dyDescent="0.25">
      <c r="A1438" s="1096"/>
      <c r="B1438" s="1455">
        <v>1188</v>
      </c>
      <c r="C1438" s="1100">
        <v>1.0100808336819955</v>
      </c>
      <c r="D1438" s="1100">
        <v>1.0318057983724529</v>
      </c>
      <c r="E1438" s="1100">
        <v>1.0120831503610761</v>
      </c>
      <c r="F1438" s="1100">
        <v>1.0257950257353055</v>
      </c>
      <c r="G1438" s="1100">
        <v>1.0093024815731542</v>
      </c>
      <c r="H1438" s="1100">
        <v>0.99787254388714353</v>
      </c>
      <c r="I1438" s="1100">
        <v>0.99662680071604737</v>
      </c>
      <c r="K1438">
        <v>1.3394789139232666</v>
      </c>
      <c r="L1438">
        <v>0</v>
      </c>
      <c r="M1438">
        <v>5.7183914144221665E-4</v>
      </c>
      <c r="N1438">
        <v>5.4536622429643196E-2</v>
      </c>
      <c r="O1438">
        <v>7.5917408367565838E-3</v>
      </c>
      <c r="P1438">
        <v>1.6725773500968301E-2</v>
      </c>
      <c r="Q1438">
        <v>4.4489657320626145E-4</v>
      </c>
      <c r="R1438">
        <v>5.7014814527279719E-4</v>
      </c>
      <c r="S1438">
        <v>5.8717381907940167E-2</v>
      </c>
      <c r="T1438">
        <v>1.0586423301101926</v>
      </c>
      <c r="U1438">
        <v>0</v>
      </c>
      <c r="V1438">
        <v>9.7935486156403823E-2</v>
      </c>
      <c r="W1438">
        <v>3.5571696076101778E-2</v>
      </c>
      <c r="X1438">
        <v>7.7629220260763401E-3</v>
      </c>
      <c r="Y1438">
        <v>1.5517553021469775E-3</v>
      </c>
    </row>
    <row r="1439" spans="1:25" x14ac:dyDescent="0.25">
      <c r="A1439" s="1096"/>
      <c r="B1439" s="1455">
        <v>1189</v>
      </c>
      <c r="C1439" s="1100">
        <v>1.0022312201989443</v>
      </c>
      <c r="D1439" s="1100">
        <v>1.0165593940918005</v>
      </c>
      <c r="E1439" s="1100">
        <v>1.0302121884478153</v>
      </c>
      <c r="F1439" s="1100">
        <v>1.0075120994024116</v>
      </c>
      <c r="G1439" s="1100">
        <v>0.99556824385857545</v>
      </c>
      <c r="H1439" s="1100">
        <v>1.0073157051381825</v>
      </c>
      <c r="I1439" s="1100">
        <v>0.99441449509808555</v>
      </c>
      <c r="K1439">
        <v>1.3243142529745926</v>
      </c>
      <c r="L1439">
        <v>0</v>
      </c>
      <c r="M1439">
        <v>5.6357813827362412E-4</v>
      </c>
      <c r="N1439">
        <v>5.6771549047429495E-2</v>
      </c>
      <c r="O1439">
        <v>7.7013221773043917E-3</v>
      </c>
      <c r="P1439">
        <v>1.6687795495522038E-2</v>
      </c>
      <c r="Q1439">
        <v>4.595209542471116E-4</v>
      </c>
      <c r="R1439">
        <v>5.6192719423921037E-4</v>
      </c>
      <c r="S1439">
        <v>5.9820564724256065E-2</v>
      </c>
      <c r="T1439">
        <v>1.0392417647008143</v>
      </c>
      <c r="U1439">
        <v>0</v>
      </c>
      <c r="V1439">
        <v>9.7483574331076878E-2</v>
      </c>
      <c r="W1439">
        <v>3.6639105519327989E-2</v>
      </c>
      <c r="X1439">
        <v>7.9813263851777911E-3</v>
      </c>
      <c r="Y1439">
        <v>1.5293805834693335E-3</v>
      </c>
    </row>
    <row r="1440" spans="1:25" x14ac:dyDescent="0.25">
      <c r="A1440" s="1096"/>
      <c r="B1440" s="1455">
        <v>1190</v>
      </c>
      <c r="C1440" s="1100">
        <v>0.96480455691727784</v>
      </c>
      <c r="D1440" s="1100">
        <v>0.98461206646568178</v>
      </c>
      <c r="E1440" s="1100">
        <v>0.98802991361065151</v>
      </c>
      <c r="F1440" s="1100">
        <v>1.0417842112396569</v>
      </c>
      <c r="G1440" s="1100">
        <v>1.0097204554492167</v>
      </c>
      <c r="H1440" s="1100">
        <v>1.0037294985369607</v>
      </c>
      <c r="I1440" s="1100">
        <v>1.0398370488239033</v>
      </c>
      <c r="K1440">
        <v>1.3706734967833769</v>
      </c>
      <c r="L1440">
        <v>0</v>
      </c>
      <c r="M1440">
        <v>6.449619342263883E-4</v>
      </c>
      <c r="N1440">
        <v>5.719998264910104E-2</v>
      </c>
      <c r="O1440">
        <v>8.0920939776575624E-3</v>
      </c>
      <c r="P1440">
        <v>1.6774561857605952E-2</v>
      </c>
      <c r="Q1440">
        <v>4.6289077589366711E-4</v>
      </c>
      <c r="R1440">
        <v>6.4306583433296075E-4</v>
      </c>
      <c r="S1440">
        <v>6.5937192454211729E-2</v>
      </c>
      <c r="T1440">
        <v>1.0758893354782655</v>
      </c>
      <c r="U1440">
        <v>0</v>
      </c>
      <c r="V1440">
        <v>9.9080068876765584E-2</v>
      </c>
      <c r="W1440">
        <v>3.7846063560823283E-2</v>
      </c>
      <c r="X1440">
        <v>7.6429900384853222E-3</v>
      </c>
      <c r="Y1440">
        <v>1.7502132144590038E-3</v>
      </c>
    </row>
    <row r="1441" spans="1:25" x14ac:dyDescent="0.25">
      <c r="A1441" s="1096"/>
      <c r="B1441" s="1455">
        <v>1191</v>
      </c>
      <c r="C1441" s="1100">
        <v>1.0233333607800559</v>
      </c>
      <c r="D1441" s="1100">
        <v>0.96810949102680655</v>
      </c>
      <c r="E1441" s="1100">
        <v>0.98088588013541012</v>
      </c>
      <c r="F1441" s="1100">
        <v>1.0052683464783521</v>
      </c>
      <c r="G1441" s="1100">
        <v>0.9709316403165219</v>
      </c>
      <c r="H1441" s="1100">
        <v>0.95960670101287471</v>
      </c>
      <c r="I1441" s="1100">
        <v>1.0195163759140922</v>
      </c>
      <c r="K1441">
        <v>1.3130632870201262</v>
      </c>
      <c r="L1441">
        <v>0</v>
      </c>
      <c r="M1441">
        <v>5.9400382752258622E-4</v>
      </c>
      <c r="N1441">
        <v>5.1547522284848428E-2</v>
      </c>
      <c r="O1441">
        <v>7.6792972029520743E-3</v>
      </c>
      <c r="P1441">
        <v>1.6056976125752905E-2</v>
      </c>
      <c r="Q1441">
        <v>4.3610734271846161E-4</v>
      </c>
      <c r="R1441">
        <v>5.9217724293113793E-4</v>
      </c>
      <c r="S1441">
        <v>6.0140192454646982E-2</v>
      </c>
      <c r="T1441">
        <v>1.0383951392984589</v>
      </c>
      <c r="U1441">
        <v>0</v>
      </c>
      <c r="V1441">
        <v>9.5727080723816499E-2</v>
      </c>
      <c r="W1441">
        <v>3.4253065208845371E-2</v>
      </c>
      <c r="X1441">
        <v>7.2180217185956247E-3</v>
      </c>
      <c r="Y1441">
        <v>1.6117112440828891E-3</v>
      </c>
    </row>
    <row r="1442" spans="1:25" x14ac:dyDescent="0.25">
      <c r="A1442" s="1096"/>
      <c r="B1442" s="1455">
        <v>1192</v>
      </c>
      <c r="C1442" s="1100">
        <v>1.0106525774085251</v>
      </c>
      <c r="D1442" s="1100">
        <v>0.99379285499239811</v>
      </c>
      <c r="E1442" s="1100">
        <v>0.99084614755913647</v>
      </c>
      <c r="F1442" s="1100">
        <v>0.98894090197276463</v>
      </c>
      <c r="G1442" s="1100">
        <v>1.0159454208341892</v>
      </c>
      <c r="H1442" s="1100">
        <v>0.99083926029610148</v>
      </c>
      <c r="I1442" s="1100">
        <v>1.0162259884337301</v>
      </c>
      <c r="K1442">
        <v>1.3027487133065239</v>
      </c>
      <c r="L1442">
        <v>0</v>
      </c>
      <c r="M1442">
        <v>6.0202278490077189E-4</v>
      </c>
      <c r="N1442">
        <v>5.3846331976412198E-2</v>
      </c>
      <c r="O1442">
        <v>7.6970572674227916E-3</v>
      </c>
      <c r="P1442">
        <v>1.5988753556552888E-2</v>
      </c>
      <c r="Q1442">
        <v>4.4154904956600154E-4</v>
      </c>
      <c r="R1442">
        <v>6.0022989533245344E-4</v>
      </c>
      <c r="S1442">
        <v>6.0817262891382992E-2</v>
      </c>
      <c r="T1442">
        <v>1.0212323065853992</v>
      </c>
      <c r="U1442">
        <v>0</v>
      </c>
      <c r="V1442">
        <v>9.8219262921196954E-2</v>
      </c>
      <c r="W1442">
        <v>3.5567056065237586E-2</v>
      </c>
      <c r="X1442">
        <v>7.3072979735580666E-3</v>
      </c>
      <c r="Y1442">
        <v>1.6336279093631194E-3</v>
      </c>
    </row>
    <row r="1443" spans="1:25" x14ac:dyDescent="0.25">
      <c r="A1443" s="1096"/>
      <c r="B1443" s="1455">
        <v>1193</v>
      </c>
      <c r="C1443" s="1100">
        <v>0.99369143086140244</v>
      </c>
      <c r="D1443" s="1100">
        <v>1.0310704417046956</v>
      </c>
      <c r="E1443" s="1100">
        <v>1.0105664995770518</v>
      </c>
      <c r="F1443" s="1100">
        <v>0.98440292775745519</v>
      </c>
      <c r="G1443" s="1100">
        <v>1.0248664303266559</v>
      </c>
      <c r="H1443" s="1100">
        <v>1.0060837428006559</v>
      </c>
      <c r="I1443" s="1100">
        <v>0.9940134760237217</v>
      </c>
      <c r="K1443">
        <v>1.3006363619807855</v>
      </c>
      <c r="L1443">
        <v>0</v>
      </c>
      <c r="M1443">
        <v>5.8807138452156218E-4</v>
      </c>
      <c r="N1443">
        <v>5.582986520258091E-2</v>
      </c>
      <c r="O1443">
        <v>7.7187851170801838E-3</v>
      </c>
      <c r="P1443">
        <v>1.6151210933844719E-2</v>
      </c>
      <c r="Q1443">
        <v>4.5165693552915451E-4</v>
      </c>
      <c r="R1443">
        <v>5.863465805869564E-4</v>
      </c>
      <c r="S1443">
        <v>5.9798407340339844E-2</v>
      </c>
      <c r="T1443">
        <v>1.0159687389606553</v>
      </c>
      <c r="U1443">
        <v>0</v>
      </c>
      <c r="V1443">
        <v>9.9091520682373896E-2</v>
      </c>
      <c r="W1443">
        <v>3.6447765929396192E-2</v>
      </c>
      <c r="X1443">
        <v>7.584293579659649E-3</v>
      </c>
      <c r="Y1443">
        <v>1.595842103259353E-3</v>
      </c>
    </row>
    <row r="1444" spans="1:25" x14ac:dyDescent="0.25">
      <c r="A1444" s="1096"/>
      <c r="B1444" s="1455">
        <v>1194</v>
      </c>
      <c r="C1444" s="1100">
        <v>1.0239977857485598</v>
      </c>
      <c r="D1444" s="1100">
        <v>0.99325344434245399</v>
      </c>
      <c r="E1444" s="1100">
        <v>1.0428333706662083</v>
      </c>
      <c r="F1444" s="1100">
        <v>1.0171669413156204</v>
      </c>
      <c r="G1444" s="1100">
        <v>0.96916555802657456</v>
      </c>
      <c r="H1444" s="1100">
        <v>0.99836612763442789</v>
      </c>
      <c r="I1444" s="1100">
        <v>1.0003466604334532</v>
      </c>
      <c r="K1444">
        <v>1.3308215160367716</v>
      </c>
      <c r="L1444">
        <v>0</v>
      </c>
      <c r="M1444">
        <v>5.3745672021093035E-4</v>
      </c>
      <c r="N1444">
        <v>5.6237315270432117E-2</v>
      </c>
      <c r="O1444">
        <v>7.6109236678754671E-3</v>
      </c>
      <c r="P1444">
        <v>1.6944187413064336E-2</v>
      </c>
      <c r="Q1444">
        <v>4.5980892982674075E-4</v>
      </c>
      <c r="R1444">
        <v>5.3586818268727915E-4</v>
      </c>
      <c r="S1444">
        <v>5.9378939176428523E-2</v>
      </c>
      <c r="T1444">
        <v>1.048832438514806</v>
      </c>
      <c r="U1444">
        <v>0</v>
      </c>
      <c r="V1444">
        <v>9.5694194003629732E-2</v>
      </c>
      <c r="W1444">
        <v>3.603073709116305E-2</v>
      </c>
      <c r="X1444">
        <v>8.1761039626940483E-3</v>
      </c>
      <c r="Y1444">
        <v>1.4584565443758262E-3</v>
      </c>
    </row>
    <row r="1445" spans="1:25" x14ac:dyDescent="0.25">
      <c r="A1445" s="1096"/>
      <c r="B1445" s="1455">
        <v>1195</v>
      </c>
      <c r="C1445" s="1100">
        <v>1.0087234181963274</v>
      </c>
      <c r="D1445" s="1100">
        <v>0.99896514723409213</v>
      </c>
      <c r="E1445" s="1100">
        <v>0.99167291182114614</v>
      </c>
      <c r="F1445" s="1100">
        <v>1.0399118278484176</v>
      </c>
      <c r="G1445" s="1100">
        <v>0.9756745099328572</v>
      </c>
      <c r="H1445" s="1100">
        <v>1.0108777806843314</v>
      </c>
      <c r="I1445" s="1100">
        <v>0.98730135361962656</v>
      </c>
      <c r="K1445">
        <v>1.3550881042791383</v>
      </c>
      <c r="L1445">
        <v>0</v>
      </c>
      <c r="M1445">
        <v>6.1304532925952231E-4</v>
      </c>
      <c r="N1445">
        <v>5.4972690143741523E-2</v>
      </c>
      <c r="O1445">
        <v>7.6959822707709531E-3</v>
      </c>
      <c r="P1445">
        <v>1.6669956935146561E-2</v>
      </c>
      <c r="Q1445">
        <v>4.418562130544973E-4</v>
      </c>
      <c r="R1445">
        <v>6.1125580431896235E-4</v>
      </c>
      <c r="S1445">
        <v>5.963425416367206E-2</v>
      </c>
      <c r="T1445">
        <v>1.0738417461266647</v>
      </c>
      <c r="U1445">
        <v>0</v>
      </c>
      <c r="V1445">
        <v>9.631899986505621E-2</v>
      </c>
      <c r="W1445">
        <v>3.6293086276894745E-2</v>
      </c>
      <c r="X1445">
        <v>7.5576850101441891E-3</v>
      </c>
      <c r="Y1445">
        <v>1.6636367989344763E-3</v>
      </c>
    </row>
    <row r="1446" spans="1:25" x14ac:dyDescent="0.25">
      <c r="A1446" s="1096"/>
      <c r="B1446" s="1455">
        <v>1196</v>
      </c>
      <c r="C1446" s="1100">
        <v>0.96548504339414276</v>
      </c>
      <c r="D1446" s="1100">
        <v>1.0019071958127435</v>
      </c>
      <c r="E1446" s="1100">
        <v>0.98586213978491399</v>
      </c>
      <c r="F1446" s="1100">
        <v>0.99896715514782131</v>
      </c>
      <c r="G1446" s="1100">
        <v>1.0293941933951947</v>
      </c>
      <c r="H1446" s="1100">
        <v>1.0336763659745409</v>
      </c>
      <c r="I1446" s="1100">
        <v>0.99292631143132504</v>
      </c>
      <c r="K1446">
        <v>1.325808783293267</v>
      </c>
      <c r="L1446">
        <v>0</v>
      </c>
      <c r="M1446">
        <v>6.6209409083807513E-4</v>
      </c>
      <c r="N1446">
        <v>5.8340690220370417E-2</v>
      </c>
      <c r="O1446">
        <v>8.0297135465702569E-3</v>
      </c>
      <c r="P1446">
        <v>1.6127854465569417E-2</v>
      </c>
      <c r="Q1446">
        <v>4.58315409072074E-4</v>
      </c>
      <c r="R1446">
        <v>6.6020401624806286E-4</v>
      </c>
      <c r="S1446">
        <v>6.3270661526517974E-2</v>
      </c>
      <c r="T1446">
        <v>1.0317358690739391</v>
      </c>
      <c r="U1446">
        <v>0</v>
      </c>
      <c r="V1446">
        <v>0.10001118971676076</v>
      </c>
      <c r="W1446">
        <v>3.8651088763888251E-2</v>
      </c>
      <c r="X1446">
        <v>7.3884329491359065E-3</v>
      </c>
      <c r="Y1446">
        <v>1.7968576960317624E-3</v>
      </c>
    </row>
    <row r="1447" spans="1:25" x14ac:dyDescent="0.25">
      <c r="A1447" s="1096"/>
      <c r="B1447" s="1455">
        <v>1197</v>
      </c>
      <c r="C1447" s="1100">
        <v>1.0022462203934943</v>
      </c>
      <c r="D1447" s="1100">
        <v>1.0025605673689271</v>
      </c>
      <c r="E1447" s="1100">
        <v>0.99190595791471392</v>
      </c>
      <c r="F1447" s="1100">
        <v>1.0069546351375684</v>
      </c>
      <c r="G1447" s="1100">
        <v>1.0252688050484329</v>
      </c>
      <c r="H1447" s="1100">
        <v>0.99595009529512502</v>
      </c>
      <c r="I1447" s="1100">
        <v>0.99451590975494297</v>
      </c>
      <c r="K1447">
        <v>1.3224420336975489</v>
      </c>
      <c r="L1447">
        <v>0</v>
      </c>
      <c r="M1447">
        <v>6.0672991005688442E-4</v>
      </c>
      <c r="N1447">
        <v>5.4442331217108474E-2</v>
      </c>
      <c r="O1447">
        <v>7.7346527253022591E-3</v>
      </c>
      <c r="P1447">
        <v>1.6249592500382416E-2</v>
      </c>
      <c r="Q1447">
        <v>4.4418094684047161E-4</v>
      </c>
      <c r="R1447">
        <v>6.049322745163519E-4</v>
      </c>
      <c r="S1447">
        <v>5.9890460869986943E-2</v>
      </c>
      <c r="T1447">
        <v>1.0398021940653734</v>
      </c>
      <c r="U1447">
        <v>0</v>
      </c>
      <c r="V1447">
        <v>9.887710353778488E-2</v>
      </c>
      <c r="W1447">
        <v>3.5937931687728762E-2</v>
      </c>
      <c r="X1447">
        <v>7.4189575472182519E-3</v>
      </c>
      <c r="Y1447">
        <v>1.6464262353628088E-3</v>
      </c>
    </row>
    <row r="1448" spans="1:25" x14ac:dyDescent="0.25">
      <c r="A1448" s="1096"/>
      <c r="B1448" s="1455">
        <v>1198</v>
      </c>
      <c r="C1448" s="1100">
        <v>0.99556871823238469</v>
      </c>
      <c r="D1448" s="1100">
        <v>0.96652239161795417</v>
      </c>
      <c r="E1448" s="1100">
        <v>1.0430517712334519</v>
      </c>
      <c r="F1448" s="1100">
        <v>0.98446922474883369</v>
      </c>
      <c r="G1448" s="1100">
        <v>0.98990837919725783</v>
      </c>
      <c r="H1448" s="1100">
        <v>1.0074971301659079</v>
      </c>
      <c r="I1448" s="1100">
        <v>1.0018605863384789</v>
      </c>
      <c r="K1448">
        <v>1.3062898161265675</v>
      </c>
      <c r="L1448">
        <v>0</v>
      </c>
      <c r="M1448">
        <v>5.6372395840569576E-4</v>
      </c>
      <c r="N1448">
        <v>5.9026210807003134E-2</v>
      </c>
      <c r="O1448">
        <v>7.9142072735635845E-3</v>
      </c>
      <c r="P1448">
        <v>1.6537976197063063E-2</v>
      </c>
      <c r="Q1448">
        <v>4.782341338081988E-4</v>
      </c>
      <c r="R1448">
        <v>5.620728845768826E-4</v>
      </c>
      <c r="S1448">
        <v>6.2354596982522999E-2</v>
      </c>
      <c r="T1448">
        <v>1.0151106804936549</v>
      </c>
      <c r="U1448">
        <v>0</v>
      </c>
      <c r="V1448">
        <v>9.7389789337516852E-2</v>
      </c>
      <c r="W1448">
        <v>3.7812811438744161E-2</v>
      </c>
      <c r="X1448">
        <v>8.1371834319774201E-3</v>
      </c>
      <c r="Y1448">
        <v>1.5297771045416706E-3</v>
      </c>
    </row>
    <row r="1449" spans="1:25" x14ac:dyDescent="0.25">
      <c r="A1449" s="1096"/>
      <c r="B1449" s="1455">
        <v>1199</v>
      </c>
      <c r="C1449" s="1100">
        <v>0.99433471023379205</v>
      </c>
      <c r="D1449" s="1100">
        <v>0.99193482402071953</v>
      </c>
      <c r="E1449" s="1100">
        <v>1.0176115493886897</v>
      </c>
      <c r="F1449" s="1100">
        <v>0.98200772574587669</v>
      </c>
      <c r="G1449" s="1100">
        <v>0.99896194854241249</v>
      </c>
      <c r="H1449" s="1100">
        <v>0.98913938715533023</v>
      </c>
      <c r="I1449" s="1100">
        <v>0.99680658162036218</v>
      </c>
      <c r="K1449">
        <v>1.2980823420072596</v>
      </c>
      <c r="L1449">
        <v>0</v>
      </c>
      <c r="M1449">
        <v>5.7827455555581396E-4</v>
      </c>
      <c r="N1449">
        <v>5.6076766680278285E-2</v>
      </c>
      <c r="O1449">
        <v>7.8358642541375232E-3</v>
      </c>
      <c r="P1449">
        <v>1.6192893907399235E-2</v>
      </c>
      <c r="Q1449">
        <v>4.6174081926797966E-4</v>
      </c>
      <c r="R1449">
        <v>5.7654943120204346E-4</v>
      </c>
      <c r="S1449">
        <v>6.0669058781469241E-2</v>
      </c>
      <c r="T1449">
        <v>1.0132937070430275</v>
      </c>
      <c r="U1449">
        <v>0</v>
      </c>
      <c r="V1449">
        <v>9.783003649564842E-2</v>
      </c>
      <c r="W1449">
        <v>3.645766988637112E-2</v>
      </c>
      <c r="X1449">
        <v>7.6971517717502715E-3</v>
      </c>
      <c r="Y1449">
        <v>1.5691774922630465E-3</v>
      </c>
    </row>
    <row r="1450" spans="1:25" x14ac:dyDescent="0.25">
      <c r="A1450" s="1096"/>
      <c r="B1450" s="1455">
        <v>1200</v>
      </c>
      <c r="C1450" s="1100">
        <v>0.98866574698800591</v>
      </c>
      <c r="D1450" s="1100">
        <v>0.99337636379567629</v>
      </c>
      <c r="E1450" s="1100">
        <v>0.96374440614225909</v>
      </c>
      <c r="F1450" s="1100">
        <v>0.97305297655533329</v>
      </c>
      <c r="G1450" s="1100">
        <v>0.96840064402796855</v>
      </c>
      <c r="H1450" s="1100">
        <v>0.95658310362006627</v>
      </c>
      <c r="I1450" s="1100">
        <v>0.96635577390695282</v>
      </c>
      <c r="K1450">
        <v>1.2789475438727196</v>
      </c>
      <c r="L1450">
        <v>0</v>
      </c>
      <c r="M1450">
        <v>6.2847076928162452E-4</v>
      </c>
      <c r="N1450">
        <v>5.1780029029164343E-2</v>
      </c>
      <c r="O1450">
        <v>7.8628284866296382E-3</v>
      </c>
      <c r="P1450">
        <v>1.5395070054300918E-2</v>
      </c>
      <c r="Q1450">
        <v>4.3878493149201618E-4</v>
      </c>
      <c r="R1450">
        <v>6.2653208898757551E-4</v>
      </c>
      <c r="S1450">
        <v>5.8081879273931908E-2</v>
      </c>
      <c r="T1450">
        <v>1.0056284544576901</v>
      </c>
      <c r="U1450">
        <v>0</v>
      </c>
      <c r="V1450">
        <v>9.6434771926438415E-2</v>
      </c>
      <c r="W1450">
        <v>3.4767750808985247E-2</v>
      </c>
      <c r="X1450">
        <v>6.8546997744056166E-3</v>
      </c>
      <c r="Y1450">
        <v>1.7052138099765534E-3</v>
      </c>
    </row>
    <row r="1451" spans="1:25" x14ac:dyDescent="0.25">
      <c r="A1451" s="1096"/>
      <c r="B1451" s="1455">
        <v>1201</v>
      </c>
      <c r="C1451" s="1100">
        <v>1.0126584510622703</v>
      </c>
      <c r="D1451" s="1100">
        <v>1.0302678730696244</v>
      </c>
      <c r="E1451" s="1100">
        <v>1.0024069649842482</v>
      </c>
      <c r="F1451" s="1100">
        <v>1.0310438337549426</v>
      </c>
      <c r="G1451" s="1100">
        <v>1.0242813542489235</v>
      </c>
      <c r="H1451" s="1100">
        <v>1.011584042722113</v>
      </c>
      <c r="I1451" s="1100">
        <v>0.97283898053300333</v>
      </c>
      <c r="K1451">
        <v>1.3450315042560306</v>
      </c>
      <c r="L1451">
        <v>0</v>
      </c>
      <c r="M1451">
        <v>5.9030936496087751E-4</v>
      </c>
      <c r="N1451">
        <v>5.4679199429732234E-2</v>
      </c>
      <c r="O1451">
        <v>7.5746159269920151E-3</v>
      </c>
      <c r="P1451">
        <v>1.6677964692911107E-2</v>
      </c>
      <c r="Q1451">
        <v>4.396135853372948E-4</v>
      </c>
      <c r="R1451">
        <v>5.8858741105618291E-4</v>
      </c>
      <c r="S1451">
        <v>5.7604226618850778E-2</v>
      </c>
      <c r="T1451">
        <v>1.0643540142702488</v>
      </c>
      <c r="U1451">
        <v>0</v>
      </c>
      <c r="V1451">
        <v>9.8586854320487333E-2</v>
      </c>
      <c r="W1451">
        <v>3.5869215688821288E-2</v>
      </c>
      <c r="X1451">
        <v>7.6455807714459565E-3</v>
      </c>
      <c r="Y1451">
        <v>1.6019409051070213E-3</v>
      </c>
    </row>
    <row r="1452" spans="1:25" x14ac:dyDescent="0.25">
      <c r="A1452" s="1096"/>
      <c r="B1452" s="1455">
        <v>1202</v>
      </c>
      <c r="C1452" s="1100">
        <v>1.0234934323182063</v>
      </c>
      <c r="D1452" s="1100">
        <v>0.96819656925646602</v>
      </c>
      <c r="E1452" s="1100">
        <v>1.0198133729984262</v>
      </c>
      <c r="F1452" s="1100">
        <v>1.0320747271310484</v>
      </c>
      <c r="G1452" s="1100">
        <v>0.99297870218072815</v>
      </c>
      <c r="H1452" s="1100">
        <v>0.97662527329896331</v>
      </c>
      <c r="I1452" s="1100">
        <v>1.022753246562552</v>
      </c>
      <c r="K1452">
        <v>1.3468676678450944</v>
      </c>
      <c r="L1452">
        <v>0</v>
      </c>
      <c r="M1452">
        <v>5.575331560379622E-4</v>
      </c>
      <c r="N1452">
        <v>5.4423688331369784E-2</v>
      </c>
      <c r="O1452">
        <v>7.6872781056125314E-3</v>
      </c>
      <c r="P1452">
        <v>1.6922322586765532E-2</v>
      </c>
      <c r="Q1452">
        <v>4.5397848644676374E-4</v>
      </c>
      <c r="R1452">
        <v>5.5584859574704204E-4</v>
      </c>
      <c r="S1452">
        <v>6.0882857813769724E-2</v>
      </c>
      <c r="T1452">
        <v>1.0648894269847449</v>
      </c>
      <c r="U1452">
        <v>0</v>
      </c>
      <c r="V1452">
        <v>9.6832727114550363E-2</v>
      </c>
      <c r="W1452">
        <v>3.5337343363032583E-2</v>
      </c>
      <c r="X1452">
        <v>7.926892976908656E-3</v>
      </c>
      <c r="Y1452">
        <v>1.5128366421831064E-3</v>
      </c>
    </row>
    <row r="1453" spans="1:25" x14ac:dyDescent="0.25">
      <c r="A1453" s="1096"/>
      <c r="B1453" s="1455">
        <v>1203</v>
      </c>
      <c r="C1453" s="1100">
        <v>1.0274448265928722</v>
      </c>
      <c r="D1453" s="1100">
        <v>0.97256491513666909</v>
      </c>
      <c r="E1453" s="1100">
        <v>1.0024532957107204</v>
      </c>
      <c r="F1453" s="1100">
        <v>0.99812514864834168</v>
      </c>
      <c r="G1453" s="1100">
        <v>0.99609755344712791</v>
      </c>
      <c r="H1453" s="1100">
        <v>0.99305106033709223</v>
      </c>
      <c r="I1453" s="1100">
        <v>1.0128627304864872</v>
      </c>
      <c r="K1453">
        <v>1.3106885396318193</v>
      </c>
      <c r="L1453">
        <v>0</v>
      </c>
      <c r="M1453">
        <v>5.8441941435859168E-4</v>
      </c>
      <c r="N1453">
        <v>5.4138245335091394E-2</v>
      </c>
      <c r="O1453">
        <v>7.63973612698982E-3</v>
      </c>
      <c r="P1453">
        <v>1.6228960827935589E-2</v>
      </c>
      <c r="Q1453">
        <v>4.4341363638524851E-4</v>
      </c>
      <c r="R1453">
        <v>5.8268282604696049E-4</v>
      </c>
      <c r="S1453">
        <v>6.0399893361898077E-2</v>
      </c>
      <c r="T1453">
        <v>1.0303704442004462</v>
      </c>
      <c r="U1453">
        <v>0</v>
      </c>
      <c r="V1453">
        <v>9.6871223598048867E-2</v>
      </c>
      <c r="W1453">
        <v>3.551337710621786E-2</v>
      </c>
      <c r="X1453">
        <v>7.4991114559594405E-3</v>
      </c>
      <c r="Y1453">
        <v>1.5858705711578433E-3</v>
      </c>
    </row>
    <row r="1454" spans="1:25" x14ac:dyDescent="0.25">
      <c r="A1454" s="1096"/>
      <c r="B1454" s="1455">
        <v>1204</v>
      </c>
      <c r="C1454" s="1100">
        <v>0.98953573632465164</v>
      </c>
      <c r="D1454" s="1100">
        <v>0.992292252879304</v>
      </c>
      <c r="E1454" s="1100">
        <v>1.0244782094781479</v>
      </c>
      <c r="F1454" s="1100">
        <v>0.99371820646322517</v>
      </c>
      <c r="G1454" s="1100">
        <v>1.0052172487067113</v>
      </c>
      <c r="H1454" s="1100">
        <v>1.0079850927455261</v>
      </c>
      <c r="I1454" s="1100">
        <v>0.96906241204903332</v>
      </c>
      <c r="K1454">
        <v>1.3127096328746497</v>
      </c>
      <c r="L1454">
        <v>0</v>
      </c>
      <c r="M1454">
        <v>5.836646622494982E-4</v>
      </c>
      <c r="N1454">
        <v>5.7787299077428231E-2</v>
      </c>
      <c r="O1454">
        <v>7.8744455997341659E-3</v>
      </c>
      <c r="P1454">
        <v>1.6433858110916244E-2</v>
      </c>
      <c r="Q1454">
        <v>4.6719086209264687E-4</v>
      </c>
      <c r="R1454">
        <v>5.8195601225718182E-4</v>
      </c>
      <c r="S1454">
        <v>5.9827122755829777E-2</v>
      </c>
      <c r="T1454">
        <v>1.0251784365688892</v>
      </c>
      <c r="U1454">
        <v>0</v>
      </c>
      <c r="V1454">
        <v>9.8261360757189192E-2</v>
      </c>
      <c r="W1454">
        <v>3.7419247736374672E-2</v>
      </c>
      <c r="X1454">
        <v>7.8784876325727615E-3</v>
      </c>
      <c r="Y1454">
        <v>1.583892423616167E-3</v>
      </c>
    </row>
    <row r="1455" spans="1:25" x14ac:dyDescent="0.25">
      <c r="A1455" s="1096"/>
      <c r="B1455" s="1455">
        <v>1205</v>
      </c>
      <c r="C1455" s="1100">
        <v>1.0106976616423515</v>
      </c>
      <c r="D1455" s="1100">
        <v>0.96134649006129425</v>
      </c>
      <c r="E1455" s="1100">
        <v>0.96481199571459575</v>
      </c>
      <c r="F1455" s="1100">
        <v>1.0117444254605688</v>
      </c>
      <c r="G1455" s="1100">
        <v>0.99181340791910522</v>
      </c>
      <c r="H1455" s="1100">
        <v>0.97790874007802642</v>
      </c>
      <c r="I1455" s="1100">
        <v>1.0473251666587891</v>
      </c>
      <c r="K1455">
        <v>1.3267652300356163</v>
      </c>
      <c r="L1455">
        <v>0</v>
      </c>
      <c r="M1455">
        <v>6.3536924490135733E-4</v>
      </c>
      <c r="N1455">
        <v>5.2521505491879256E-2</v>
      </c>
      <c r="O1455">
        <v>7.7931883757121805E-3</v>
      </c>
      <c r="P1455">
        <v>1.6016285253329581E-2</v>
      </c>
      <c r="Q1455">
        <v>4.353749893309591E-4</v>
      </c>
      <c r="R1455">
        <v>6.3345202609845928E-4</v>
      </c>
      <c r="S1455">
        <v>6.3362101461180625E-2</v>
      </c>
      <c r="T1455">
        <v>1.0455818946198971</v>
      </c>
      <c r="U1455">
        <v>0</v>
      </c>
      <c r="V1455">
        <v>9.7022197943906513E-2</v>
      </c>
      <c r="W1455">
        <v>3.5242604430087143E-2</v>
      </c>
      <c r="X1455">
        <v>7.0679470914595281E-3</v>
      </c>
      <c r="Y1455">
        <v>1.7240475976357239E-3</v>
      </c>
    </row>
    <row r="1456" spans="1:25" x14ac:dyDescent="0.25">
      <c r="A1456" s="1096"/>
      <c r="B1456" s="1455">
        <v>1206</v>
      </c>
      <c r="C1456" s="1100">
        <v>1.0079149816829485</v>
      </c>
      <c r="D1456" s="1100">
        <v>0.98936833984429129</v>
      </c>
      <c r="E1456" s="1100">
        <v>1.0472144387284426</v>
      </c>
      <c r="F1456" s="1100">
        <v>0.96345304930945497</v>
      </c>
      <c r="G1456" s="1100">
        <v>1.0231484659578896</v>
      </c>
      <c r="H1456" s="1100">
        <v>1.0244796051262277</v>
      </c>
      <c r="I1456" s="1100">
        <v>1.0013310712987034</v>
      </c>
      <c r="K1456">
        <v>1.2840497317543365</v>
      </c>
      <c r="L1456">
        <v>0</v>
      </c>
      <c r="M1456">
        <v>5.5608272460140899E-4</v>
      </c>
      <c r="N1456">
        <v>5.8963430147561717E-2</v>
      </c>
      <c r="O1456">
        <v>7.7455774098847182E-3</v>
      </c>
      <c r="P1456">
        <v>1.6283628335669448E-2</v>
      </c>
      <c r="Q1456">
        <v>4.6995857796898916E-4</v>
      </c>
      <c r="R1456">
        <v>5.5448102928862231E-4</v>
      </c>
      <c r="S1456">
        <v>6.131341084878203E-2</v>
      </c>
      <c r="T1456">
        <v>0.99332636099721383</v>
      </c>
      <c r="U1456">
        <v>0</v>
      </c>
      <c r="V1456">
        <v>9.8697918542321031E-2</v>
      </c>
      <c r="W1456">
        <v>3.7682505773760415E-2</v>
      </c>
      <c r="X1456">
        <v>8.0594282393838292E-3</v>
      </c>
      <c r="Y1456">
        <v>1.5091145771014497E-3</v>
      </c>
    </row>
    <row r="1457" spans="1:25" x14ac:dyDescent="0.25">
      <c r="A1457" s="1096"/>
      <c r="B1457" s="1455">
        <v>1207</v>
      </c>
      <c r="C1457" s="1100">
        <v>0.99213276426407326</v>
      </c>
      <c r="D1457" s="1100">
        <v>1.0184120545671793</v>
      </c>
      <c r="E1457" s="1100">
        <v>0.97639098338041097</v>
      </c>
      <c r="F1457" s="1100">
        <v>0.95649323869467862</v>
      </c>
      <c r="G1457" s="1100">
        <v>0.97958115868500151</v>
      </c>
      <c r="H1457" s="1100">
        <v>1.0136056986036668</v>
      </c>
      <c r="I1457" s="1100">
        <v>1.0326255608838915</v>
      </c>
      <c r="K1457">
        <v>1.2714832143820163</v>
      </c>
      <c r="L1457">
        <v>0</v>
      </c>
      <c r="M1457">
        <v>6.4010083972730603E-4</v>
      </c>
      <c r="N1457">
        <v>5.4806402870740248E-2</v>
      </c>
      <c r="O1457">
        <v>7.7608203319084537E-3</v>
      </c>
      <c r="P1457">
        <v>1.5380758167420412E-2</v>
      </c>
      <c r="Q1457">
        <v>4.3872656132141851E-4</v>
      </c>
      <c r="R1457">
        <v>6.3823736643921572E-4</v>
      </c>
      <c r="S1457">
        <v>6.2834324234883346E-2</v>
      </c>
      <c r="T1457">
        <v>0.98814345166931339</v>
      </c>
      <c r="U1457">
        <v>0</v>
      </c>
      <c r="V1457">
        <v>9.6901874999096999E-2</v>
      </c>
      <c r="W1457">
        <v>3.6517660587887898E-2</v>
      </c>
      <c r="X1457">
        <v>6.9639867161754706E-3</v>
      </c>
      <c r="Y1457">
        <v>1.7370717165562433E-3</v>
      </c>
    </row>
    <row r="1458" spans="1:25" x14ac:dyDescent="0.25">
      <c r="A1458" s="1096"/>
      <c r="B1458" s="1455">
        <v>1208</v>
      </c>
      <c r="C1458" s="1100">
        <v>1.0123638573055764</v>
      </c>
      <c r="D1458" s="1100">
        <v>0.99976006194654587</v>
      </c>
      <c r="E1458" s="1100">
        <v>0.99918117872615253</v>
      </c>
      <c r="F1458" s="1100">
        <v>1.0011213767421556</v>
      </c>
      <c r="G1458" s="1100">
        <v>1.0287810418453007</v>
      </c>
      <c r="H1458" s="1100">
        <v>1.0208458274920771</v>
      </c>
      <c r="I1458" s="1100">
        <v>1.0206952422001272</v>
      </c>
      <c r="K1458">
        <v>1.3199198420597431</v>
      </c>
      <c r="L1458">
        <v>0</v>
      </c>
      <c r="M1458">
        <v>6.0714484117504715E-4</v>
      </c>
      <c r="N1458">
        <v>5.5694718398257896E-2</v>
      </c>
      <c r="O1458">
        <v>7.6676876978567536E-3</v>
      </c>
      <c r="P1458">
        <v>1.6277294749676478E-2</v>
      </c>
      <c r="Q1458">
        <v>4.4357527002774391E-4</v>
      </c>
      <c r="R1458">
        <v>6.0538984582727336E-4</v>
      </c>
      <c r="S1458">
        <v>6.1717761358744253E-2</v>
      </c>
      <c r="T1458">
        <v>1.0335608923539616</v>
      </c>
      <c r="U1458">
        <v>0</v>
      </c>
      <c r="V1458">
        <v>9.8808045714516402E-2</v>
      </c>
      <c r="W1458">
        <v>3.6605459837917957E-2</v>
      </c>
      <c r="X1458">
        <v>7.4984900804987839E-3</v>
      </c>
      <c r="Y1458">
        <v>1.6476715936327958E-3</v>
      </c>
    </row>
    <row r="1459" spans="1:25" x14ac:dyDescent="0.25">
      <c r="A1459" s="1096"/>
      <c r="B1459" s="1455">
        <v>1209</v>
      </c>
      <c r="C1459" s="1100">
        <v>1.008339191480589</v>
      </c>
      <c r="D1459" s="1100">
        <v>0.99066121599485157</v>
      </c>
      <c r="E1459" s="1100">
        <v>0.99896912533509841</v>
      </c>
      <c r="F1459" s="1100">
        <v>1.0086442722884672</v>
      </c>
      <c r="G1459" s="1100">
        <v>1.031828106686282</v>
      </c>
      <c r="H1459" s="1100">
        <v>1.0145916850728478</v>
      </c>
      <c r="I1459" s="1100">
        <v>0.98279730686396705</v>
      </c>
      <c r="K1459">
        <v>1.326294188232864</v>
      </c>
      <c r="L1459">
        <v>0</v>
      </c>
      <c r="M1459">
        <v>6.0832082838902608E-4</v>
      </c>
      <c r="N1459">
        <v>5.5765856319048304E-2</v>
      </c>
      <c r="O1459">
        <v>7.7264453543832616E-3</v>
      </c>
      <c r="P1459">
        <v>1.6357416067361925E-2</v>
      </c>
      <c r="Q1459">
        <v>4.4687908495060429E-4</v>
      </c>
      <c r="R1459">
        <v>6.0655159467675281E-4</v>
      </c>
      <c r="S1459">
        <v>5.9768950174289154E-2</v>
      </c>
      <c r="T1459">
        <v>1.0413339258787266</v>
      </c>
      <c r="U1459">
        <v>0</v>
      </c>
      <c r="V1459">
        <v>9.9052922991876319E-2</v>
      </c>
      <c r="W1459">
        <v>3.6656838423683294E-2</v>
      </c>
      <c r="X1459">
        <v>7.535889681225893E-3</v>
      </c>
      <c r="Y1459">
        <v>1.650833491030674E-3</v>
      </c>
    </row>
    <row r="1460" spans="1:25" x14ac:dyDescent="0.25">
      <c r="A1460" s="1096"/>
      <c r="B1460" s="1455">
        <v>1210</v>
      </c>
      <c r="C1460" s="1100">
        <v>1.0264830215337233</v>
      </c>
      <c r="D1460" s="1100">
        <v>1.0074841520598012</v>
      </c>
      <c r="E1460" s="1100">
        <v>0.9867806066969903</v>
      </c>
      <c r="F1460" s="1100">
        <v>0.96775122676409775</v>
      </c>
      <c r="G1460" s="1100">
        <v>1.0170573554716891</v>
      </c>
      <c r="H1460" s="1100">
        <v>1.018902472640004</v>
      </c>
      <c r="I1460" s="1100">
        <v>0.97536038232281763</v>
      </c>
      <c r="K1460">
        <v>1.2773250870974606</v>
      </c>
      <c r="L1460">
        <v>0</v>
      </c>
      <c r="M1460">
        <v>6.1132420577448881E-4</v>
      </c>
      <c r="N1460">
        <v>5.4014672199098793E-2</v>
      </c>
      <c r="O1460">
        <v>7.5360215957697395E-3</v>
      </c>
      <c r="P1460">
        <v>1.5601525096243605E-2</v>
      </c>
      <c r="Q1460">
        <v>4.3053706360750521E-4</v>
      </c>
      <c r="R1460">
        <v>6.0955375932807609E-4</v>
      </c>
      <c r="S1460">
        <v>5.7858611863165099E-2</v>
      </c>
      <c r="T1460">
        <v>0.99946915763430455</v>
      </c>
      <c r="U1460">
        <v>0</v>
      </c>
      <c r="V1460">
        <v>9.7890437486595733E-2</v>
      </c>
      <c r="W1460">
        <v>3.5765332005814422E-2</v>
      </c>
      <c r="X1460">
        <v>7.1015582057590209E-3</v>
      </c>
      <c r="Y1460">
        <v>1.6590043935482642E-3</v>
      </c>
    </row>
    <row r="1461" spans="1:25" x14ac:dyDescent="0.25">
      <c r="A1461" s="1096"/>
      <c r="B1461" s="1455">
        <v>1211</v>
      </c>
      <c r="C1461" s="1100">
        <v>1.0141577649754128</v>
      </c>
      <c r="D1461" s="1100">
        <v>1.0133486967058087</v>
      </c>
      <c r="E1461" s="1100">
        <v>1.0338701621077511</v>
      </c>
      <c r="F1461" s="1100">
        <v>0.99475517067357133</v>
      </c>
      <c r="G1461" s="1100">
        <v>1.0062340702843688</v>
      </c>
      <c r="H1461" s="1100">
        <v>1.0121460115818248</v>
      </c>
      <c r="I1461" s="1100">
        <v>0.98759071450923996</v>
      </c>
      <c r="K1461">
        <v>1.3098338542311572</v>
      </c>
      <c r="L1461">
        <v>0</v>
      </c>
      <c r="M1461">
        <v>5.5607359313328763E-4</v>
      </c>
      <c r="N1461">
        <v>5.6637400916392341E-2</v>
      </c>
      <c r="O1461">
        <v>7.6212756407664558E-3</v>
      </c>
      <c r="P1461">
        <v>1.6537790512805919E-2</v>
      </c>
      <c r="Q1461">
        <v>4.5639052207616755E-4</v>
      </c>
      <c r="R1461">
        <v>5.5445240684453786E-4</v>
      </c>
      <c r="S1461">
        <v>5.8957361478919001E-2</v>
      </c>
      <c r="T1461">
        <v>1.025978228923943</v>
      </c>
      <c r="U1461">
        <v>0</v>
      </c>
      <c r="V1461">
        <v>9.7712837931451232E-2</v>
      </c>
      <c r="W1461">
        <v>3.6475121156018926E-2</v>
      </c>
      <c r="X1461">
        <v>7.9500316588268626E-3</v>
      </c>
      <c r="Y1461">
        <v>1.509036676244038E-3</v>
      </c>
    </row>
    <row r="1462" spans="1:25" x14ac:dyDescent="0.25">
      <c r="A1462" s="1096"/>
      <c r="B1462" s="1455">
        <v>1212</v>
      </c>
      <c r="C1462" s="1100">
        <v>0.96279643171002838</v>
      </c>
      <c r="D1462" s="1100">
        <v>0.99282006039638304</v>
      </c>
      <c r="E1462" s="1100">
        <v>0.98716542398328921</v>
      </c>
      <c r="F1462" s="1100">
        <v>1.0257294561057988</v>
      </c>
      <c r="G1462" s="1100">
        <v>1.0129182100278922</v>
      </c>
      <c r="H1462" s="1100">
        <v>1.0130142708012686</v>
      </c>
      <c r="I1462" s="1100">
        <v>0.97076037475486376</v>
      </c>
      <c r="K1462">
        <v>1.350398364287805</v>
      </c>
      <c r="L1462">
        <v>0</v>
      </c>
      <c r="M1462">
        <v>6.5128781062180792E-4</v>
      </c>
      <c r="N1462">
        <v>5.7611763842218715E-2</v>
      </c>
      <c r="O1462">
        <v>8.0818685243944366E-3</v>
      </c>
      <c r="P1462">
        <v>1.6485506533611881E-2</v>
      </c>
      <c r="Q1462">
        <v>4.619015275806972E-4</v>
      </c>
      <c r="R1462">
        <v>6.493906626541385E-4</v>
      </c>
      <c r="S1462">
        <v>6.1697040308645666E-2</v>
      </c>
      <c r="T1462">
        <v>1.0593357141780755</v>
      </c>
      <c r="U1462">
        <v>0</v>
      </c>
      <c r="V1462">
        <v>9.9287342919365751E-2</v>
      </c>
      <c r="W1462">
        <v>3.8138299973690407E-2</v>
      </c>
      <c r="X1462">
        <v>7.5333963160188321E-3</v>
      </c>
      <c r="Y1462">
        <v>1.7674273121701535E-3</v>
      </c>
    </row>
    <row r="1463" spans="1:25" x14ac:dyDescent="0.25">
      <c r="A1463" s="1096"/>
      <c r="B1463" s="1455">
        <v>1213</v>
      </c>
      <c r="C1463" s="1100">
        <v>1.0068121369821026</v>
      </c>
      <c r="D1463" s="1100">
        <v>0.99653633306732803</v>
      </c>
      <c r="E1463" s="1100">
        <v>1.0055042877781113</v>
      </c>
      <c r="F1463" s="1100">
        <v>0.99002763341102007</v>
      </c>
      <c r="G1463" s="1100">
        <v>1.0252930233708926</v>
      </c>
      <c r="H1463" s="1100">
        <v>0.98249165213614931</v>
      </c>
      <c r="I1463" s="1100">
        <v>1.0002597756319511</v>
      </c>
      <c r="K1463">
        <v>1.3037333353175864</v>
      </c>
      <c r="L1463">
        <v>0</v>
      </c>
      <c r="M1463">
        <v>5.8064670687666753E-4</v>
      </c>
      <c r="N1463">
        <v>5.4284972936844325E-2</v>
      </c>
      <c r="O1463">
        <v>7.7214797312820287E-3</v>
      </c>
      <c r="P1463">
        <v>1.6167536959976143E-2</v>
      </c>
      <c r="Q1463">
        <v>4.4953155840924737E-4</v>
      </c>
      <c r="R1463">
        <v>5.789027854381292E-4</v>
      </c>
      <c r="S1463">
        <v>5.9761744293721816E-2</v>
      </c>
      <c r="T1463">
        <v>1.0219217821988489</v>
      </c>
      <c r="U1463">
        <v>0</v>
      </c>
      <c r="V1463">
        <v>9.8781389921482457E-2</v>
      </c>
      <c r="W1463">
        <v>3.554531496655227E-2</v>
      </c>
      <c r="X1463">
        <v>7.5257441251980256E-3</v>
      </c>
      <c r="Y1463">
        <v>1.575582546710656E-3</v>
      </c>
    </row>
    <row r="1464" spans="1:25" x14ac:dyDescent="0.25">
      <c r="A1464" s="1096"/>
      <c r="B1464" s="1455">
        <v>1214</v>
      </c>
      <c r="C1464" s="1100">
        <v>1.0132138689832384</v>
      </c>
      <c r="D1464" s="1100">
        <v>0.97505645449095901</v>
      </c>
      <c r="E1464" s="1100">
        <v>1.0001171083293807</v>
      </c>
      <c r="F1464" s="1100">
        <v>0.97650786822866731</v>
      </c>
      <c r="G1464" s="1100">
        <v>0.99221669699062465</v>
      </c>
      <c r="H1464" s="1100">
        <v>1.0214569702095544</v>
      </c>
      <c r="I1464" s="1100">
        <v>1.0419636729423365</v>
      </c>
      <c r="K1464">
        <v>1.295433379329388</v>
      </c>
      <c r="L1464">
        <v>0</v>
      </c>
      <c r="M1464">
        <v>6.119149263306221E-4</v>
      </c>
      <c r="N1464">
        <v>5.6291337231383368E-2</v>
      </c>
      <c r="O1464">
        <v>7.7385427314676921E-3</v>
      </c>
      <c r="P1464">
        <v>1.5945974417207246E-2</v>
      </c>
      <c r="Q1464">
        <v>4.4809567109917973E-4</v>
      </c>
      <c r="R1464">
        <v>6.1014720098434268E-4</v>
      </c>
      <c r="S1464">
        <v>6.3820053176749547E-2</v>
      </c>
      <c r="T1464">
        <v>1.0081226147677793</v>
      </c>
      <c r="U1464">
        <v>0</v>
      </c>
      <c r="V1464">
        <v>9.7019686787277445E-2</v>
      </c>
      <c r="W1464">
        <v>3.6977008252750604E-2</v>
      </c>
      <c r="X1464">
        <v>7.4112144729115556E-3</v>
      </c>
      <c r="Y1464">
        <v>1.6606195461086326E-3</v>
      </c>
    </row>
    <row r="1465" spans="1:25" x14ac:dyDescent="0.25">
      <c r="A1465" s="1096"/>
      <c r="B1465" s="1455">
        <v>1215</v>
      </c>
      <c r="C1465" s="1100">
        <v>1.0319685712679547</v>
      </c>
      <c r="D1465" s="1100">
        <v>1.0202718241991668</v>
      </c>
      <c r="E1465" s="1100">
        <v>1.0087217413285194</v>
      </c>
      <c r="F1465" s="1100">
        <v>0.99609443245879281</v>
      </c>
      <c r="G1465" s="1100">
        <v>0.98039800410892886</v>
      </c>
      <c r="H1465" s="1100">
        <v>0.97375642126456297</v>
      </c>
      <c r="I1465" s="1100">
        <v>0.99300386515914585</v>
      </c>
      <c r="K1465">
        <v>1.30036326259319</v>
      </c>
      <c r="L1465">
        <v>0</v>
      </c>
      <c r="M1465">
        <v>5.52490280384245E-4</v>
      </c>
      <c r="N1465">
        <v>5.215548296946728E-2</v>
      </c>
      <c r="O1465">
        <v>7.4634157463541288E-3</v>
      </c>
      <c r="P1465">
        <v>1.6213518096425447E-2</v>
      </c>
      <c r="Q1465">
        <v>4.3590949696777884E-4</v>
      </c>
      <c r="R1465">
        <v>5.5081603879478854E-4</v>
      </c>
      <c r="S1465">
        <v>5.690284038526891E-2</v>
      </c>
      <c r="T1465">
        <v>1.0280893104654059</v>
      </c>
      <c r="U1465">
        <v>0</v>
      </c>
      <c r="V1465">
        <v>9.6012868728092823E-2</v>
      </c>
      <c r="W1465">
        <v>3.4086064999613579E-2</v>
      </c>
      <c r="X1465">
        <v>7.5063862660419214E-3</v>
      </c>
      <c r="Y1465">
        <v>1.4991396811410256E-3</v>
      </c>
    </row>
    <row r="1466" spans="1:25" x14ac:dyDescent="0.25">
      <c r="A1466" s="1096"/>
      <c r="B1466" s="1455">
        <v>1216</v>
      </c>
      <c r="C1466" s="1100">
        <v>1.0068285003210982</v>
      </c>
      <c r="D1466" s="1100">
        <v>1.0098659642485375</v>
      </c>
      <c r="E1466" s="1100">
        <v>1.0236088873465392</v>
      </c>
      <c r="F1466" s="1100">
        <v>0.99445860004481768</v>
      </c>
      <c r="G1466" s="1100">
        <v>0.98776953368721954</v>
      </c>
      <c r="H1466" s="1100">
        <v>1.0343715490862306</v>
      </c>
      <c r="I1466" s="1100">
        <v>0.96486480864833779</v>
      </c>
      <c r="K1466">
        <v>1.3109675968419123</v>
      </c>
      <c r="L1466">
        <v>0</v>
      </c>
      <c r="M1466">
        <v>5.8559613362556642E-4</v>
      </c>
      <c r="N1466">
        <v>5.7831052880593384E-2</v>
      </c>
      <c r="O1466">
        <v>7.6848313532131762E-3</v>
      </c>
      <c r="P1466">
        <v>1.6401923029565325E-2</v>
      </c>
      <c r="Q1466">
        <v>4.5554805518605886E-4</v>
      </c>
      <c r="R1466">
        <v>5.8392556064692743E-4</v>
      </c>
      <c r="S1466">
        <v>5.8765391699119006E-2</v>
      </c>
      <c r="T1466">
        <v>1.025967385328957</v>
      </c>
      <c r="U1466">
        <v>0</v>
      </c>
      <c r="V1466">
        <v>9.6985853403159086E-2</v>
      </c>
      <c r="W1466">
        <v>3.7466570021627968E-2</v>
      </c>
      <c r="X1466">
        <v>7.8214587583969927E-3</v>
      </c>
      <c r="Y1466">
        <v>1.5892528850716028E-3</v>
      </c>
    </row>
    <row r="1467" spans="1:25" x14ac:dyDescent="0.25">
      <c r="A1467" s="1096"/>
      <c r="B1467" s="1455">
        <v>1217</v>
      </c>
      <c r="C1467" s="1100">
        <v>0.9963619292268493</v>
      </c>
      <c r="D1467" s="1100">
        <v>1.0192882659762375</v>
      </c>
      <c r="E1467" s="1100">
        <v>0.97583847227473131</v>
      </c>
      <c r="F1467" s="1100">
        <v>0.9735871864627037</v>
      </c>
      <c r="G1467" s="1100">
        <v>0.9821525514961833</v>
      </c>
      <c r="H1467" s="1100">
        <v>0.99089994273231141</v>
      </c>
      <c r="I1467" s="1100">
        <v>1.0102648137088492</v>
      </c>
      <c r="K1467">
        <v>1.2845014755069748</v>
      </c>
      <c r="L1467">
        <v>0</v>
      </c>
      <c r="M1467">
        <v>6.2360313271868806E-4</v>
      </c>
      <c r="N1467">
        <v>5.330106799570352E-2</v>
      </c>
      <c r="O1467">
        <v>7.7250861987914121E-3</v>
      </c>
      <c r="P1467">
        <v>1.5579785582372066E-2</v>
      </c>
      <c r="Q1467">
        <v>4.3646077312253128E-4</v>
      </c>
      <c r="R1467">
        <v>6.2174608825077643E-4</v>
      </c>
      <c r="S1467">
        <v>6.0486691707548779E-2</v>
      </c>
      <c r="T1467">
        <v>1.0058194308465283</v>
      </c>
      <c r="U1467">
        <v>0</v>
      </c>
      <c r="V1467">
        <v>9.6919656026814752E-2</v>
      </c>
      <c r="W1467">
        <v>3.5526538635290213E-2</v>
      </c>
      <c r="X1467">
        <v>7.016426891596623E-3</v>
      </c>
      <c r="Y1467">
        <v>1.6921878936757059E-3</v>
      </c>
    </row>
    <row r="1468" spans="1:25" x14ac:dyDescent="0.25">
      <c r="A1468" s="1096"/>
      <c r="B1468" s="1455">
        <v>1218</v>
      </c>
      <c r="C1468" s="1100">
        <v>0.97800119221379478</v>
      </c>
      <c r="D1468" s="1100">
        <v>0.99568970062102458</v>
      </c>
      <c r="E1468" s="1100">
        <v>1.0174965855032618</v>
      </c>
      <c r="F1468" s="1100">
        <v>0.99208131434121694</v>
      </c>
      <c r="G1468" s="1100">
        <v>1.0007174896087567</v>
      </c>
      <c r="H1468" s="1100">
        <v>0.98625829080672589</v>
      </c>
      <c r="I1468" s="1100">
        <v>1.021772905090317</v>
      </c>
      <c r="K1468">
        <v>1.3128587977615553</v>
      </c>
      <c r="L1468">
        <v>0</v>
      </c>
      <c r="M1468">
        <v>5.8547447398892558E-4</v>
      </c>
      <c r="N1468">
        <v>5.6754774272395538E-2</v>
      </c>
      <c r="O1468">
        <v>7.9546703419987458E-3</v>
      </c>
      <c r="P1468">
        <v>1.6374437398940778E-2</v>
      </c>
      <c r="Q1468">
        <v>4.6868801587243399E-4</v>
      </c>
      <c r="R1468">
        <v>5.8372276839690985E-4</v>
      </c>
      <c r="S1468">
        <v>6.3006768545516983E-2</v>
      </c>
      <c r="T1468">
        <v>1.0236915674341003</v>
      </c>
      <c r="U1468">
        <v>0</v>
      </c>
      <c r="V1468">
        <v>9.833121745461014E-2</v>
      </c>
      <c r="W1468">
        <v>3.6900955437260539E-2</v>
      </c>
      <c r="X1468">
        <v>7.7887696150329708E-3</v>
      </c>
      <c r="Y1468">
        <v>1.5887009514175018E-3</v>
      </c>
    </row>
    <row r="1469" spans="1:25" x14ac:dyDescent="0.25">
      <c r="A1469" s="1096"/>
      <c r="B1469" s="1455">
        <v>1219</v>
      </c>
      <c r="C1469" s="1100">
        <v>0.99706418573299249</v>
      </c>
      <c r="D1469" s="1100">
        <v>1.0120111420569633</v>
      </c>
      <c r="E1469" s="1100">
        <v>1.0097384475790052</v>
      </c>
      <c r="F1469" s="1100">
        <v>1.0193495268708752</v>
      </c>
      <c r="G1469" s="1100">
        <v>1.0007254418213083</v>
      </c>
      <c r="H1469" s="1100">
        <v>1.0147014753243824</v>
      </c>
      <c r="I1469" s="1100">
        <v>0.99477622527485354</v>
      </c>
      <c r="K1469">
        <v>1.3379989314145873</v>
      </c>
      <c r="L1469">
        <v>0</v>
      </c>
      <c r="M1469">
        <v>5.9655567189260202E-4</v>
      </c>
      <c r="N1469">
        <v>5.6495347709132109E-2</v>
      </c>
      <c r="O1469">
        <v>7.7500982553831456E-3</v>
      </c>
      <c r="P1469">
        <v>1.6629589620066755E-2</v>
      </c>
      <c r="Q1469">
        <v>4.5311400216001084E-4</v>
      </c>
      <c r="R1469">
        <v>5.9482084356209781E-4</v>
      </c>
      <c r="S1469">
        <v>6.0501053730758904E-2</v>
      </c>
      <c r="T1469">
        <v>1.0520608028262723</v>
      </c>
      <c r="U1469">
        <v>0</v>
      </c>
      <c r="V1469">
        <v>9.7838264717420825E-2</v>
      </c>
      <c r="W1469">
        <v>3.6900228280127685E-2</v>
      </c>
      <c r="X1469">
        <v>7.7532608480578276E-3</v>
      </c>
      <c r="Y1469">
        <v>1.6189062535376479E-3</v>
      </c>
    </row>
    <row r="1470" spans="1:25" x14ac:dyDescent="0.25">
      <c r="A1470" s="1096"/>
      <c r="B1470" s="1455">
        <v>1220</v>
      </c>
      <c r="C1470" s="1100">
        <v>0.97743783366042836</v>
      </c>
      <c r="D1470" s="1100">
        <v>0.98814284826841059</v>
      </c>
      <c r="E1470" s="1100">
        <v>1.0017588999319436</v>
      </c>
      <c r="F1470" s="1100">
        <v>1.002302675944754</v>
      </c>
      <c r="G1470" s="1100">
        <v>0.9552885954163024</v>
      </c>
      <c r="H1470" s="1100">
        <v>0.96161167505920353</v>
      </c>
      <c r="I1470" s="1100">
        <v>0.98772668942107111</v>
      </c>
      <c r="K1470">
        <v>1.3157620880075815</v>
      </c>
      <c r="L1470">
        <v>0</v>
      </c>
      <c r="M1470">
        <v>5.9195330740062946E-4</v>
      </c>
      <c r="N1470">
        <v>5.4715919108297664E-2</v>
      </c>
      <c r="O1470">
        <v>7.9795376795495053E-3</v>
      </c>
      <c r="P1470">
        <v>1.62697983090202E-2</v>
      </c>
      <c r="Q1470">
        <v>4.6281309136083471E-4</v>
      </c>
      <c r="R1470">
        <v>5.9013682354533382E-4</v>
      </c>
      <c r="S1470">
        <v>6.0412472639485584E-2</v>
      </c>
      <c r="T1470">
        <v>1.0347036028074921</v>
      </c>
      <c r="U1470">
        <v>0</v>
      </c>
      <c r="V1470">
        <v>9.6130315088126153E-2</v>
      </c>
      <c r="W1470">
        <v>3.5907108693759023E-2</v>
      </c>
      <c r="X1470">
        <v>7.5761791792068565E-3</v>
      </c>
      <c r="Y1470">
        <v>1.6061578951388001E-3</v>
      </c>
    </row>
    <row r="1471" spans="1:25" x14ac:dyDescent="0.25">
      <c r="A1471" s="1096"/>
      <c r="B1471" s="1455">
        <v>1221</v>
      </c>
      <c r="C1471" s="1100">
        <v>0.98240631965551128</v>
      </c>
      <c r="D1471" s="1100">
        <v>1.0069207835661151</v>
      </c>
      <c r="E1471" s="1100">
        <v>0.99402338527712442</v>
      </c>
      <c r="F1471" s="1100">
        <v>0.97496153279783382</v>
      </c>
      <c r="G1471" s="1100">
        <v>1.0093985089891153</v>
      </c>
      <c r="H1471" s="1100">
        <v>0.9923261605489927</v>
      </c>
      <c r="I1471" s="1100">
        <v>0.95953770827347362</v>
      </c>
      <c r="K1471">
        <v>1.2889899261683775</v>
      </c>
      <c r="L1471">
        <v>0</v>
      </c>
      <c r="M1471">
        <v>6.129658228708622E-4</v>
      </c>
      <c r="N1471">
        <v>5.535445285981945E-2</v>
      </c>
      <c r="O1471">
        <v>7.8776971522121677E-3</v>
      </c>
      <c r="P1471">
        <v>1.5806355287921681E-2</v>
      </c>
      <c r="Q1471">
        <v>4.5336328521759946E-4</v>
      </c>
      <c r="R1471">
        <v>6.1114307903656091E-4</v>
      </c>
      <c r="S1471">
        <v>5.8708155359482067E-2</v>
      </c>
      <c r="T1471">
        <v>1.0067035739436092</v>
      </c>
      <c r="U1471">
        <v>0</v>
      </c>
      <c r="V1471">
        <v>9.8611075523102804E-2</v>
      </c>
      <c r="W1471">
        <v>3.6493820308453932E-2</v>
      </c>
      <c r="X1471">
        <v>7.319925194515825E-3</v>
      </c>
      <c r="Y1471">
        <v>1.6633299978756589E-3</v>
      </c>
    </row>
    <row r="1472" spans="1:25" x14ac:dyDescent="0.25">
      <c r="A1472" s="1096"/>
      <c r="B1472" s="1455">
        <v>1222</v>
      </c>
      <c r="C1472" s="1100">
        <v>1.0294792767490784</v>
      </c>
      <c r="D1472" s="1100">
        <v>1.0314290401394961</v>
      </c>
      <c r="E1472" s="1100">
        <v>1.0314033151320421</v>
      </c>
      <c r="F1472" s="1100">
        <v>0.99879509075332229</v>
      </c>
      <c r="G1472" s="1100">
        <v>0.99758879894005559</v>
      </c>
      <c r="H1472" s="1100">
        <v>1.0419403876892415</v>
      </c>
      <c r="I1472" s="1100">
        <v>1.0296104839393696</v>
      </c>
      <c r="K1472">
        <v>1.3155477443509074</v>
      </c>
      <c r="L1472">
        <v>0</v>
      </c>
      <c r="M1472">
        <v>5.6283489713671833E-4</v>
      </c>
      <c r="N1472">
        <v>5.6906171445818873E-2</v>
      </c>
      <c r="O1472">
        <v>7.4543433294100214E-3</v>
      </c>
      <c r="P1472">
        <v>1.6583254623726791E-2</v>
      </c>
      <c r="Q1472">
        <v>4.4530815062280524E-4</v>
      </c>
      <c r="R1472">
        <v>5.6124092045875692E-4</v>
      </c>
      <c r="S1472">
        <v>6.0877783211933073E-2</v>
      </c>
      <c r="T1472">
        <v>1.030215906202355</v>
      </c>
      <c r="U1472">
        <v>0</v>
      </c>
      <c r="V1472">
        <v>9.692786502865787E-2</v>
      </c>
      <c r="W1472">
        <v>3.6700619614150554E-2</v>
      </c>
      <c r="X1472">
        <v>7.9105739484416297E-3</v>
      </c>
      <c r="Y1472">
        <v>1.5275127724690305E-3</v>
      </c>
    </row>
    <row r="1473" spans="1:25" x14ac:dyDescent="0.25">
      <c r="A1473" s="1096"/>
      <c r="B1473" s="1455">
        <v>1223</v>
      </c>
      <c r="C1473" s="1100">
        <v>1.0012285664448091</v>
      </c>
      <c r="D1473" s="1100">
        <v>0.9922515773500733</v>
      </c>
      <c r="E1473" s="1100">
        <v>0.97464788031469962</v>
      </c>
      <c r="F1473" s="1100">
        <v>1.0170378490580598</v>
      </c>
      <c r="G1473" s="1100">
        <v>1.0242188219251502</v>
      </c>
      <c r="H1473" s="1100">
        <v>1.0017099171943427</v>
      </c>
      <c r="I1473" s="1100">
        <v>1.0211473182408155</v>
      </c>
      <c r="K1473">
        <v>1.3352716887456415</v>
      </c>
      <c r="L1473">
        <v>0</v>
      </c>
      <c r="M1473">
        <v>6.3568624141537467E-4</v>
      </c>
      <c r="N1473">
        <v>5.4140145002596896E-2</v>
      </c>
      <c r="O1473">
        <v>7.7703578110542727E-3</v>
      </c>
      <c r="P1473">
        <v>1.6213460531690774E-2</v>
      </c>
      <c r="Q1473">
        <v>4.3848623159715712E-4</v>
      </c>
      <c r="R1473">
        <v>6.3381364297762297E-4</v>
      </c>
      <c r="S1473">
        <v>6.2061823937389862E-2</v>
      </c>
      <c r="T1473">
        <v>1.0507455391289653</v>
      </c>
      <c r="U1473">
        <v>0</v>
      </c>
      <c r="V1473">
        <v>9.8832191622306595E-2</v>
      </c>
      <c r="W1473">
        <v>3.6111854924834999E-2</v>
      </c>
      <c r="X1473">
        <v>7.2346703540679246E-3</v>
      </c>
      <c r="Y1473">
        <v>1.7250317995738352E-3</v>
      </c>
    </row>
    <row r="1474" spans="1:25" x14ac:dyDescent="0.25">
      <c r="A1474" s="1096"/>
      <c r="B1474" s="1455">
        <v>1224</v>
      </c>
      <c r="C1474" s="1100">
        <v>0.99348687955321147</v>
      </c>
      <c r="D1474" s="1100">
        <v>0.989056852877221</v>
      </c>
      <c r="E1474" s="1100">
        <v>1.038087569267351</v>
      </c>
      <c r="F1474" s="1100">
        <v>1.0099882054313261</v>
      </c>
      <c r="G1474" s="1100">
        <v>0.9912134384611373</v>
      </c>
      <c r="H1474" s="1100">
        <v>1.0175831288998327</v>
      </c>
      <c r="I1474" s="1100">
        <v>1.0212613220118001</v>
      </c>
      <c r="K1474">
        <v>1.3339975682294052</v>
      </c>
      <c r="L1474">
        <v>0</v>
      </c>
      <c r="M1474">
        <v>5.7121213682721631E-4</v>
      </c>
      <c r="N1474">
        <v>5.892428460930757E-2</v>
      </c>
      <c r="O1474">
        <v>7.8567744657590984E-3</v>
      </c>
      <c r="P1474">
        <v>1.6863816480719603E-2</v>
      </c>
      <c r="Q1474">
        <v>4.7245254881172127E-4</v>
      </c>
      <c r="R1474">
        <v>5.6955571346585423E-4</v>
      </c>
      <c r="S1474">
        <v>6.3225673253954895E-2</v>
      </c>
      <c r="T1474">
        <v>1.0415671489243954</v>
      </c>
      <c r="U1474">
        <v>0</v>
      </c>
      <c r="V1474">
        <v>9.7499515588806998E-2</v>
      </c>
      <c r="W1474">
        <v>3.7855546603489547E-2</v>
      </c>
      <c r="X1474">
        <v>8.1838692794574588E-3</v>
      </c>
      <c r="Y1474">
        <v>1.5501428980635712E-3</v>
      </c>
    </row>
    <row r="1475" spans="1:25" x14ac:dyDescent="0.25">
      <c r="A1475" s="1096"/>
      <c r="B1475" s="1455">
        <v>1225</v>
      </c>
      <c r="C1475" s="1100">
        <v>0.98715861844633246</v>
      </c>
      <c r="D1475" s="1100">
        <v>0.97086023799579624</v>
      </c>
      <c r="E1475" s="1100">
        <v>1.0167908641989156</v>
      </c>
      <c r="F1475" s="1100">
        <v>1.0075073186804573</v>
      </c>
      <c r="G1475" s="1100">
        <v>1.0188824128185365</v>
      </c>
      <c r="H1475" s="1100">
        <v>0.9843814487465925</v>
      </c>
      <c r="I1475" s="1100">
        <v>0.99804909480627613</v>
      </c>
      <c r="K1475">
        <v>1.3283010926646559</v>
      </c>
      <c r="L1475">
        <v>0</v>
      </c>
      <c r="M1475">
        <v>5.8567611140631184E-4</v>
      </c>
      <c r="N1475">
        <v>5.6653226757812161E-2</v>
      </c>
      <c r="O1475">
        <v>7.9607105972867662E-3</v>
      </c>
      <c r="P1475">
        <v>1.6577530348466214E-2</v>
      </c>
      <c r="Q1475">
        <v>4.6871442877502196E-4</v>
      </c>
      <c r="R1475">
        <v>5.8392046153845864E-4</v>
      </c>
      <c r="S1475">
        <v>6.1747303615358143E-2</v>
      </c>
      <c r="T1475">
        <v>1.0396298850841754</v>
      </c>
      <c r="U1475">
        <v>0</v>
      </c>
      <c r="V1475">
        <v>9.8974143984007515E-2</v>
      </c>
      <c r="W1475">
        <v>3.6850176958085734E-2</v>
      </c>
      <c r="X1475">
        <v>7.8519175335760808E-3</v>
      </c>
      <c r="Y1475">
        <v>1.589239006979271E-3</v>
      </c>
    </row>
    <row r="1476" spans="1:25" x14ac:dyDescent="0.25">
      <c r="A1476" s="1096"/>
      <c r="B1476" s="1455">
        <v>1226</v>
      </c>
      <c r="C1476" s="1100">
        <v>1.0322782069721517</v>
      </c>
      <c r="D1476" s="1100">
        <v>1.0048846587896405</v>
      </c>
      <c r="E1476" s="1100">
        <v>0.97900960768172607</v>
      </c>
      <c r="F1476" s="1100">
        <v>0.96438569890208947</v>
      </c>
      <c r="G1476" s="1100">
        <v>1.0171129565398846</v>
      </c>
      <c r="H1476" s="1100">
        <v>0.99247437359621116</v>
      </c>
      <c r="I1476" s="1100">
        <v>0.98728581070736787</v>
      </c>
      <c r="K1476">
        <v>1.2700476335329003</v>
      </c>
      <c r="L1476">
        <v>0</v>
      </c>
      <c r="M1476">
        <v>6.023430201089904E-4</v>
      </c>
      <c r="N1476">
        <v>5.198060280494065E-2</v>
      </c>
      <c r="O1476">
        <v>7.4996233201258715E-3</v>
      </c>
      <c r="P1476">
        <v>1.5460144613593747E-2</v>
      </c>
      <c r="Q1476">
        <v>4.250921969159741E-4</v>
      </c>
      <c r="R1476">
        <v>6.0055213222331581E-4</v>
      </c>
      <c r="S1476">
        <v>5.754043381948571E-2</v>
      </c>
      <c r="T1476">
        <v>0.99622022105430275</v>
      </c>
      <c r="U1476">
        <v>0</v>
      </c>
      <c r="V1476">
        <v>9.774905897232268E-2</v>
      </c>
      <c r="W1476">
        <v>3.4580001411079343E-2</v>
      </c>
      <c r="X1476">
        <v>6.9597412960633051E-3</v>
      </c>
      <c r="Y1476">
        <v>1.6345049319546848E-3</v>
      </c>
    </row>
    <row r="1477" spans="1:25" x14ac:dyDescent="0.25">
      <c r="A1477" s="1096"/>
      <c r="B1477" s="1455">
        <v>1227</v>
      </c>
      <c r="C1477" s="1100">
        <v>1.0173486957013855</v>
      </c>
      <c r="D1477" s="1100">
        <v>1.0257811631548941</v>
      </c>
      <c r="E1477" s="1100">
        <v>0.9820956744676006</v>
      </c>
      <c r="F1477" s="1100">
        <v>0.98546578723032052</v>
      </c>
      <c r="G1477" s="1100">
        <v>0.97679030240757136</v>
      </c>
      <c r="H1477" s="1100">
        <v>1.0269925839186704</v>
      </c>
      <c r="I1477" s="1100">
        <v>1.0136964557074346</v>
      </c>
      <c r="K1477">
        <v>1.2973364354949657</v>
      </c>
      <c r="L1477">
        <v>0</v>
      </c>
      <c r="M1477">
        <v>6.232636441789542E-4</v>
      </c>
      <c r="N1477">
        <v>5.4295990859831535E-2</v>
      </c>
      <c r="O1477">
        <v>7.5480237071195366E-3</v>
      </c>
      <c r="P1477">
        <v>1.5804296855729844E-2</v>
      </c>
      <c r="Q1477">
        <v>4.2917929146516653E-4</v>
      </c>
      <c r="R1477">
        <v>6.2147283914920669E-4</v>
      </c>
      <c r="S1477">
        <v>6.0330719436092986E-2</v>
      </c>
      <c r="T1477">
        <v>1.0179038771059226</v>
      </c>
      <c r="U1477">
        <v>0</v>
      </c>
      <c r="V1477">
        <v>9.6154211775877352E-2</v>
      </c>
      <c r="W1477">
        <v>3.605309317327568E-2</v>
      </c>
      <c r="X1477">
        <v>7.1273898949816396E-3</v>
      </c>
      <c r="Y1477">
        <v>1.6914441996977749E-3</v>
      </c>
    </row>
    <row r="1478" spans="1:25" x14ac:dyDescent="0.25">
      <c r="A1478" s="1096"/>
      <c r="B1478" s="1455">
        <v>1228</v>
      </c>
      <c r="C1478" s="1100">
        <v>0.99003811369181616</v>
      </c>
      <c r="D1478" s="1100">
        <v>1.0418509130525504</v>
      </c>
      <c r="E1478" s="1100">
        <v>0.97794692357831736</v>
      </c>
      <c r="F1478" s="1100">
        <v>0.98275881043074587</v>
      </c>
      <c r="G1478" s="1100">
        <v>0.98618888935217608</v>
      </c>
      <c r="H1478" s="1100">
        <v>0.97163398460658545</v>
      </c>
      <c r="I1478" s="1100">
        <v>1.0283694278440141</v>
      </c>
      <c r="K1478">
        <v>1.2927823558317864</v>
      </c>
      <c r="L1478">
        <v>0</v>
      </c>
      <c r="M1478">
        <v>6.0736598388688614E-4</v>
      </c>
      <c r="N1478">
        <v>5.2242453283601192E-2</v>
      </c>
      <c r="O1478">
        <v>7.7071532799879942E-3</v>
      </c>
      <c r="P1478">
        <v>1.573795508815785E-2</v>
      </c>
      <c r="Q1478">
        <v>4.3638337347717262E-4</v>
      </c>
      <c r="R1478">
        <v>6.0552142898202832E-4</v>
      </c>
      <c r="S1478">
        <v>6.0642052532884891E-2</v>
      </c>
      <c r="T1478">
        <v>1.015231589208242</v>
      </c>
      <c r="U1478">
        <v>0</v>
      </c>
      <c r="V1478">
        <v>9.7276036056761675E-2</v>
      </c>
      <c r="W1478">
        <v>3.4776531905995334E-2</v>
      </c>
      <c r="X1478">
        <v>7.0860159379774676E-3</v>
      </c>
      <c r="Y1478">
        <v>1.6480297196036638E-3</v>
      </c>
    </row>
    <row r="1479" spans="1:25" x14ac:dyDescent="0.25">
      <c r="A1479" s="1096"/>
      <c r="B1479" s="1455">
        <v>1229</v>
      </c>
      <c r="C1479" s="1100">
        <v>0.97586035746393807</v>
      </c>
      <c r="D1479" s="1100">
        <v>0.98789531941017361</v>
      </c>
      <c r="E1479" s="1100">
        <v>0.99595251708823285</v>
      </c>
      <c r="F1479" s="1100">
        <v>1.0244163058338831</v>
      </c>
      <c r="G1479" s="1100">
        <v>1.0273782901295643</v>
      </c>
      <c r="H1479" s="1100">
        <v>0.97938970680455184</v>
      </c>
      <c r="I1479" s="1100">
        <v>1.0156698918640972</v>
      </c>
      <c r="K1479">
        <v>1.3465721391647512</v>
      </c>
      <c r="L1479">
        <v>0</v>
      </c>
      <c r="M1479">
        <v>6.1124885162316327E-4</v>
      </c>
      <c r="N1479">
        <v>5.5519991318507281E-2</v>
      </c>
      <c r="O1479">
        <v>7.9917701159608941E-3</v>
      </c>
      <c r="P1479">
        <v>1.6592516722524167E-2</v>
      </c>
      <c r="Q1479">
        <v>4.6082341728054949E-4</v>
      </c>
      <c r="R1479">
        <v>6.0940720483813448E-4</v>
      </c>
      <c r="S1479">
        <v>6.2792292354929891E-2</v>
      </c>
      <c r="T1479">
        <v>1.0577093389578762</v>
      </c>
      <c r="U1479">
        <v>0</v>
      </c>
      <c r="V1479">
        <v>9.9652232749500302E-2</v>
      </c>
      <c r="W1479">
        <v>3.6560845613074919E-2</v>
      </c>
      <c r="X1479">
        <v>7.6355640413434678E-3</v>
      </c>
      <c r="Y1479">
        <v>1.658605520538318E-3</v>
      </c>
    </row>
    <row r="1480" spans="1:25" x14ac:dyDescent="0.25">
      <c r="A1480" s="1096"/>
      <c r="B1480" s="1455">
        <v>1230</v>
      </c>
      <c r="C1480" s="1100">
        <v>0.97828842422738427</v>
      </c>
      <c r="D1480" s="1100">
        <v>0.99038190118322877</v>
      </c>
      <c r="E1480" s="1100">
        <v>0.99214657166934916</v>
      </c>
      <c r="F1480" s="1100">
        <v>1.0422437690558004</v>
      </c>
      <c r="G1480" s="1100">
        <v>1.0096240813939885</v>
      </c>
      <c r="H1480" s="1100">
        <v>0.98169358006606844</v>
      </c>
      <c r="I1480" s="1100">
        <v>1.0032099075837977</v>
      </c>
      <c r="K1480">
        <v>1.3630514256788571</v>
      </c>
      <c r="L1480">
        <v>0</v>
      </c>
      <c r="M1480">
        <v>6.1538650838465739E-4</v>
      </c>
      <c r="N1480">
        <v>5.5256889008864281E-2</v>
      </c>
      <c r="O1480">
        <v>7.9629649234553429E-3</v>
      </c>
      <c r="P1480">
        <v>1.677109763594201E-2</v>
      </c>
      <c r="Q1480">
        <v>4.5740342521757729E-4</v>
      </c>
      <c r="R1480">
        <v>6.1353674644982396E-4</v>
      </c>
      <c r="S1480">
        <v>6.1853027016553132E-2</v>
      </c>
      <c r="T1480">
        <v>1.0762349599295276</v>
      </c>
      <c r="U1480">
        <v>0</v>
      </c>
      <c r="V1480">
        <v>9.8726053039381895E-2</v>
      </c>
      <c r="W1480">
        <v>3.6470380614515685E-2</v>
      </c>
      <c r="X1480">
        <v>7.6506550758321029E-3</v>
      </c>
      <c r="Y1480">
        <v>1.6698447715023097E-3</v>
      </c>
    </row>
    <row r="1481" spans="1:25" x14ac:dyDescent="0.25">
      <c r="A1481" s="1096"/>
      <c r="B1481" s="1455">
        <v>1231</v>
      </c>
      <c r="C1481" s="1100">
        <v>1.0083112292225054</v>
      </c>
      <c r="D1481" s="1100">
        <v>1.0042901161226609</v>
      </c>
      <c r="E1481" s="1100">
        <v>1.0246605835515301</v>
      </c>
      <c r="F1481" s="1100">
        <v>1.0153649127988407</v>
      </c>
      <c r="G1481" s="1100">
        <v>0.98857018037410149</v>
      </c>
      <c r="H1481" s="1100">
        <v>1.0141312549918444</v>
      </c>
      <c r="I1481" s="1100">
        <v>0.98963818103952184</v>
      </c>
      <c r="K1481">
        <v>1.3321839679196306</v>
      </c>
      <c r="L1481">
        <v>0</v>
      </c>
      <c r="M1481">
        <v>5.7330745902603377E-4</v>
      </c>
      <c r="N1481">
        <v>5.6794094264868006E-2</v>
      </c>
      <c r="O1481">
        <v>7.6908004561222791E-3</v>
      </c>
      <c r="P1481">
        <v>1.6727529114245632E-2</v>
      </c>
      <c r="Q1481">
        <v>4.5637772449003258E-4</v>
      </c>
      <c r="R1481">
        <v>5.7163930079422523E-4</v>
      </c>
      <c r="S1481">
        <v>5.9758961219851373E-2</v>
      </c>
      <c r="T1481">
        <v>1.0475050815480549</v>
      </c>
      <c r="U1481">
        <v>0</v>
      </c>
      <c r="V1481">
        <v>9.6989559671488479E-2</v>
      </c>
      <c r="W1481">
        <v>3.6772204051600046E-2</v>
      </c>
      <c r="X1481">
        <v>7.9352142912238258E-3</v>
      </c>
      <c r="Y1481">
        <v>1.5558137359170186E-3</v>
      </c>
    </row>
    <row r="1482" spans="1:25" x14ac:dyDescent="0.25">
      <c r="A1482" s="1096"/>
      <c r="B1482" s="1455">
        <v>1232</v>
      </c>
      <c r="C1482" s="1100">
        <v>1.036812904181339</v>
      </c>
      <c r="D1482" s="1100">
        <v>1.0080753453805267</v>
      </c>
      <c r="E1482" s="1100">
        <v>0.96248217072820541</v>
      </c>
      <c r="F1482" s="1100">
        <v>1.0107014917866934</v>
      </c>
      <c r="G1482" s="1100">
        <v>1.0077307485423246</v>
      </c>
      <c r="H1482" s="1100">
        <v>1.0125170371809573</v>
      </c>
      <c r="I1482" s="1100">
        <v>1.0161384165098515</v>
      </c>
      <c r="K1482">
        <v>1.3204270884442799</v>
      </c>
      <c r="L1482">
        <v>0</v>
      </c>
      <c r="M1482">
        <v>6.322554420075822E-4</v>
      </c>
      <c r="N1482">
        <v>5.1901909775435462E-2</v>
      </c>
      <c r="O1482">
        <v>7.4534780461735263E-3</v>
      </c>
      <c r="P1482">
        <v>1.5924238581986522E-2</v>
      </c>
      <c r="Q1482">
        <v>4.1540281615466468E-4</v>
      </c>
      <c r="R1482">
        <v>6.3041282933010785E-4</v>
      </c>
      <c r="S1482">
        <v>5.9444653385546081E-2</v>
      </c>
      <c r="T1482">
        <v>1.0445767336732121</v>
      </c>
      <c r="U1482">
        <v>0</v>
      </c>
      <c r="V1482">
        <v>9.7172244733453428E-2</v>
      </c>
      <c r="W1482">
        <v>3.4876517878129835E-2</v>
      </c>
      <c r="X1482">
        <v>6.9479762609618127E-3</v>
      </c>
      <c r="Y1482">
        <v>1.7157759059032165E-3</v>
      </c>
    </row>
    <row r="1483" spans="1:25" x14ac:dyDescent="0.25">
      <c r="A1483" s="1096"/>
      <c r="B1483" s="1455">
        <v>1233</v>
      </c>
      <c r="C1483" s="1100">
        <v>1.0013801319464366</v>
      </c>
      <c r="D1483" s="1100">
        <v>1.0385558818341929</v>
      </c>
      <c r="E1483" s="1100">
        <v>1.0171018592117318</v>
      </c>
      <c r="F1483" s="1100">
        <v>0.9788843633704587</v>
      </c>
      <c r="G1483" s="1100">
        <v>1.0211403702609803</v>
      </c>
      <c r="H1483" s="1100">
        <v>1.0094107730487776</v>
      </c>
      <c r="I1483" s="1100">
        <v>1.0029189409314649</v>
      </c>
      <c r="K1483">
        <v>1.294015654921985</v>
      </c>
      <c r="L1483">
        <v>0</v>
      </c>
      <c r="M1483">
        <v>5.7591692607884349E-4</v>
      </c>
      <c r="N1483">
        <v>5.5765667899175274E-2</v>
      </c>
      <c r="O1483">
        <v>7.638970365383576E-3</v>
      </c>
      <c r="P1483">
        <v>1.6142159515839524E-2</v>
      </c>
      <c r="Q1483">
        <v>4.499101704187268E-4</v>
      </c>
      <c r="R1483">
        <v>5.7423333845168958E-4</v>
      </c>
      <c r="S1483">
        <v>5.97462176719111E-2</v>
      </c>
      <c r="T1483">
        <v>1.010085430106642</v>
      </c>
      <c r="U1483">
        <v>0</v>
      </c>
      <c r="V1483">
        <v>9.8727100865380002E-2</v>
      </c>
      <c r="W1483">
        <v>3.6266247894105479E-2</v>
      </c>
      <c r="X1483">
        <v>7.6327601694608704E-3</v>
      </c>
      <c r="Y1483">
        <v>1.5628738512963526E-3</v>
      </c>
    </row>
    <row r="1484" spans="1:25" x14ac:dyDescent="0.25">
      <c r="A1484" s="1096"/>
      <c r="B1484" s="1455">
        <v>1234</v>
      </c>
      <c r="C1484" s="1100">
        <v>0.99360856724664859</v>
      </c>
      <c r="D1484" s="1100">
        <v>0.99924046635249564</v>
      </c>
      <c r="E1484" s="1100">
        <v>0.99601424880289346</v>
      </c>
      <c r="F1484" s="1100">
        <v>1.0237040678461486</v>
      </c>
      <c r="G1484" s="1100">
        <v>0.95770062588750227</v>
      </c>
      <c r="H1484" s="1100">
        <v>0.9860300538281076</v>
      </c>
      <c r="I1484" s="1100">
        <v>1.0225974534629958</v>
      </c>
      <c r="K1484">
        <v>1.3393448437364486</v>
      </c>
      <c r="L1484">
        <v>0</v>
      </c>
      <c r="M1484">
        <v>6.0156950188702579E-4</v>
      </c>
      <c r="N1484">
        <v>5.4652118864330433E-2</v>
      </c>
      <c r="O1484">
        <v>7.8132648225508212E-3</v>
      </c>
      <c r="P1484">
        <v>1.6519357768842238E-2</v>
      </c>
      <c r="Q1484">
        <v>4.5055842025576437E-4</v>
      </c>
      <c r="R1484">
        <v>5.9976922429223745E-4</v>
      </c>
      <c r="S1484">
        <v>6.1919852883369458E-2</v>
      </c>
      <c r="T1484">
        <v>1.0569720650078336</v>
      </c>
      <c r="U1484">
        <v>0</v>
      </c>
      <c r="V1484">
        <v>9.5828001133581336E-2</v>
      </c>
      <c r="W1484">
        <v>3.5988012425548319E-2</v>
      </c>
      <c r="X1484">
        <v>7.5710385730792763E-3</v>
      </c>
      <c r="Y1484">
        <v>1.6323741146518195E-3</v>
      </c>
    </row>
    <row r="1485" spans="1:25" x14ac:dyDescent="0.25">
      <c r="A1485" s="1096"/>
      <c r="B1485" s="1455">
        <v>1235</v>
      </c>
      <c r="C1485" s="1100">
        <v>0.97514685933985712</v>
      </c>
      <c r="D1485" s="1100">
        <v>0.99305266324197938</v>
      </c>
      <c r="E1485" s="1100">
        <v>1.0147763887790053</v>
      </c>
      <c r="F1485" s="1100">
        <v>1.0031307434206012</v>
      </c>
      <c r="G1485" s="1100">
        <v>1.0009757573504148</v>
      </c>
      <c r="H1485" s="1100">
        <v>0.99005949133595594</v>
      </c>
      <c r="I1485" s="1100">
        <v>0.98949077434762645</v>
      </c>
      <c r="K1485">
        <v>1.3235446477159907</v>
      </c>
      <c r="L1485">
        <v>0</v>
      </c>
      <c r="M1485">
        <v>5.9342416964762554E-4</v>
      </c>
      <c r="N1485">
        <v>5.705579130076855E-2</v>
      </c>
      <c r="O1485">
        <v>7.9857333234516735E-3</v>
      </c>
      <c r="P1485">
        <v>1.6478982422003404E-2</v>
      </c>
      <c r="Q1485">
        <v>4.6924485099669196E-4</v>
      </c>
      <c r="R1485">
        <v>5.9165549578624492E-4</v>
      </c>
      <c r="S1485">
        <v>6.1397441941186556E-2</v>
      </c>
      <c r="T1485">
        <v>1.0351729711916851</v>
      </c>
      <c r="U1485">
        <v>0</v>
      </c>
      <c r="V1485">
        <v>9.8414823643842644E-2</v>
      </c>
      <c r="W1485">
        <v>3.7155936252954602E-2</v>
      </c>
      <c r="X1485">
        <v>7.805200242614792E-3</v>
      </c>
      <c r="Y1485">
        <v>1.6102912203483902E-3</v>
      </c>
    </row>
    <row r="1486" spans="1:25" x14ac:dyDescent="0.25">
      <c r="A1486" s="1096"/>
      <c r="B1486" s="1455">
        <v>1236</v>
      </c>
      <c r="C1486" s="1100">
        <v>1.0294388889087334</v>
      </c>
      <c r="D1486" s="1100">
        <v>1.0062987615962664</v>
      </c>
      <c r="E1486" s="1100">
        <v>1.0219055267154051</v>
      </c>
      <c r="F1486" s="1100">
        <v>0.98580486684717827</v>
      </c>
      <c r="G1486" s="1100">
        <v>0.99224512177228796</v>
      </c>
      <c r="H1486" s="1100">
        <v>1.0041463850419505</v>
      </c>
      <c r="I1486" s="1100">
        <v>0.99101754768517991</v>
      </c>
      <c r="K1486">
        <v>1.2959170730847374</v>
      </c>
      <c r="L1486">
        <v>0</v>
      </c>
      <c r="M1486">
        <v>5.5876364589438733E-4</v>
      </c>
      <c r="N1486">
        <v>5.4893686142615625E-2</v>
      </c>
      <c r="O1486">
        <v>7.5262827635634109E-3</v>
      </c>
      <c r="P1486">
        <v>1.624684299045728E-2</v>
      </c>
      <c r="Q1486">
        <v>4.4539575474514731E-4</v>
      </c>
      <c r="R1486">
        <v>5.5712163916873014E-4</v>
      </c>
      <c r="S1486">
        <v>5.8255946542443801E-2</v>
      </c>
      <c r="T1486">
        <v>1.0170883103956703</v>
      </c>
      <c r="U1486">
        <v>0</v>
      </c>
      <c r="V1486">
        <v>9.665966757185003E-2</v>
      </c>
      <c r="W1486">
        <v>3.5598942242805132E-2</v>
      </c>
      <c r="X1486">
        <v>7.6873392405921752E-3</v>
      </c>
      <c r="Y1486">
        <v>1.51630144671829E-3</v>
      </c>
    </row>
    <row r="1487" spans="1:25" x14ac:dyDescent="0.25">
      <c r="A1487" s="1096"/>
      <c r="B1487" s="1455">
        <v>1237</v>
      </c>
      <c r="C1487" s="1100">
        <v>1.01549661638325</v>
      </c>
      <c r="D1487" s="1100">
        <v>1.0205301939784002</v>
      </c>
      <c r="E1487" s="1100">
        <v>1.0098641104868797</v>
      </c>
      <c r="F1487" s="1100">
        <v>0.9762908509156043</v>
      </c>
      <c r="G1487" s="1100">
        <v>1.0096122557320024</v>
      </c>
      <c r="H1487" s="1100">
        <v>0.99819179317653806</v>
      </c>
      <c r="I1487" s="1100">
        <v>1.0295808328158236</v>
      </c>
      <c r="K1487">
        <v>1.2891437689854812</v>
      </c>
      <c r="L1487">
        <v>0</v>
      </c>
      <c r="M1487">
        <v>5.7411873179794384E-4</v>
      </c>
      <c r="N1487">
        <v>5.4388519434015382E-2</v>
      </c>
      <c r="O1487">
        <v>7.5839829306596973E-3</v>
      </c>
      <c r="P1487">
        <v>1.6022942230241574E-2</v>
      </c>
      <c r="Q1487">
        <v>4.4345768174656477E-4</v>
      </c>
      <c r="R1487">
        <v>5.7242153759266791E-4</v>
      </c>
      <c r="S1487">
        <v>6.0699260897926946E-2</v>
      </c>
      <c r="T1487">
        <v>1.0076167432814949</v>
      </c>
      <c r="U1487">
        <v>0</v>
      </c>
      <c r="V1487">
        <v>9.7817115846613845E-2</v>
      </c>
      <c r="W1487">
        <v>3.5521509837445932E-2</v>
      </c>
      <c r="X1487">
        <v>7.4939913129229568E-3</v>
      </c>
      <c r="Y1487">
        <v>1.5579427266180881E-3</v>
      </c>
    </row>
    <row r="1488" spans="1:25" x14ac:dyDescent="0.25">
      <c r="A1488" s="1096"/>
      <c r="B1488" s="1455">
        <v>1238</v>
      </c>
      <c r="C1488" s="1100">
        <v>1.037850152668941</v>
      </c>
      <c r="D1488" s="1100">
        <v>0.9856342263043546</v>
      </c>
      <c r="E1488" s="1100">
        <v>1.0108987011056709</v>
      </c>
      <c r="F1488" s="1100">
        <v>0.95781235656362218</v>
      </c>
      <c r="G1488" s="1100">
        <v>0.97942074485095998</v>
      </c>
      <c r="H1488" s="1100">
        <v>0.99624220075297865</v>
      </c>
      <c r="I1488" s="1100">
        <v>0.99098983597001877</v>
      </c>
      <c r="K1488">
        <v>1.264225645076589</v>
      </c>
      <c r="L1488">
        <v>0</v>
      </c>
      <c r="M1488">
        <v>5.6729245009757136E-4</v>
      </c>
      <c r="N1488">
        <v>5.390964261072409E-2</v>
      </c>
      <c r="O1488">
        <v>7.5248775119876581E-3</v>
      </c>
      <c r="P1488">
        <v>1.5710690642492416E-2</v>
      </c>
      <c r="Q1488">
        <v>4.404568115327809E-4</v>
      </c>
      <c r="R1488">
        <v>5.6561215373361379E-4</v>
      </c>
      <c r="S1488">
        <v>5.8186386683113385E-2</v>
      </c>
      <c r="T1488">
        <v>0.98851614668267396</v>
      </c>
      <c r="U1488">
        <v>0</v>
      </c>
      <c r="V1488">
        <v>9.5831866738460073E-2</v>
      </c>
      <c r="W1488">
        <v>3.5187285223316427E-2</v>
      </c>
      <c r="X1488">
        <v>7.3805626401840362E-3</v>
      </c>
      <c r="Y1488">
        <v>1.5394098284665283E-3</v>
      </c>
    </row>
    <row r="1489" spans="1:25" x14ac:dyDescent="0.25">
      <c r="A1489" s="1096"/>
      <c r="B1489" s="1455">
        <v>1239</v>
      </c>
      <c r="C1489" s="1100">
        <v>0.97611428736228723</v>
      </c>
      <c r="D1489" s="1100">
        <v>0.97486132774857825</v>
      </c>
      <c r="E1489" s="1100">
        <v>0.95498776333095725</v>
      </c>
      <c r="F1489" s="1100">
        <v>1.036664060535367</v>
      </c>
      <c r="G1489" s="1100">
        <v>0.99458615657404192</v>
      </c>
      <c r="H1489" s="1100">
        <v>0.96880667435598977</v>
      </c>
      <c r="I1489" s="1100">
        <v>0.97650017387269261</v>
      </c>
      <c r="K1489">
        <v>1.3525270982508253</v>
      </c>
      <c r="L1489">
        <v>0</v>
      </c>
      <c r="M1489">
        <v>6.6138473132176627E-4</v>
      </c>
      <c r="N1489">
        <v>5.3066979054507211E-2</v>
      </c>
      <c r="O1489">
        <v>8.0218843268205289E-3</v>
      </c>
      <c r="P1489">
        <v>1.6212848532276485E-2</v>
      </c>
      <c r="Q1489">
        <v>4.4364870070911296E-4</v>
      </c>
      <c r="R1489">
        <v>6.5937026105877773E-4</v>
      </c>
      <c r="S1489">
        <v>6.0421692471233836E-2</v>
      </c>
      <c r="T1489">
        <v>1.071650336828827</v>
      </c>
      <c r="U1489">
        <v>0</v>
      </c>
      <c r="V1489">
        <v>9.8013708089222551E-2</v>
      </c>
      <c r="W1489">
        <v>3.5823906064997253E-2</v>
      </c>
      <c r="X1489">
        <v>7.0795201632415103E-3</v>
      </c>
      <c r="Y1489">
        <v>1.794588489253852E-3</v>
      </c>
    </row>
    <row r="1490" spans="1:25" x14ac:dyDescent="0.25">
      <c r="A1490" s="1096"/>
      <c r="B1490" s="1455">
        <v>1240</v>
      </c>
      <c r="C1490" s="1100">
        <v>0.98411301338827228</v>
      </c>
      <c r="D1490" s="1100">
        <v>0.98666870088467618</v>
      </c>
      <c r="E1490" s="1100">
        <v>0.98167367411704209</v>
      </c>
      <c r="F1490" s="1100">
        <v>0.98004784418454316</v>
      </c>
      <c r="G1490" s="1100">
        <v>1.0130942065906812</v>
      </c>
      <c r="H1490" s="1100">
        <v>0.99087010036263201</v>
      </c>
      <c r="I1490" s="1100">
        <v>1.025917123356485</v>
      </c>
      <c r="K1490">
        <v>1.2989143836024537</v>
      </c>
      <c r="L1490">
        <v>0</v>
      </c>
      <c r="M1490">
        <v>6.3194385900856311E-4</v>
      </c>
      <c r="N1490">
        <v>5.4976159656221671E-2</v>
      </c>
      <c r="O1490">
        <v>7.9251169191581639E-3</v>
      </c>
      <c r="P1490">
        <v>1.5798642425495776E-2</v>
      </c>
      <c r="Q1490">
        <v>4.5042770824888287E-4</v>
      </c>
      <c r="R1490">
        <v>6.3006191979119071E-4</v>
      </c>
      <c r="S1490">
        <v>6.3288835450089495E-2</v>
      </c>
      <c r="T1490">
        <v>1.0123201284034264</v>
      </c>
      <c r="U1490">
        <v>0</v>
      </c>
      <c r="V1490">
        <v>9.8732266410909375E-2</v>
      </c>
      <c r="W1490">
        <v>3.6514021413327477E-2</v>
      </c>
      <c r="X1490">
        <v>7.195846308976404E-3</v>
      </c>
      <c r="Y1490">
        <v>1.7148208458155824E-3</v>
      </c>
    </row>
    <row r="1491" spans="1:25" x14ac:dyDescent="0.25">
      <c r="A1491" s="1096"/>
      <c r="B1491" s="1455">
        <v>1241</v>
      </c>
      <c r="C1491" s="1100">
        <v>0.99884947579408856</v>
      </c>
      <c r="D1491" s="1100">
        <v>0.97015081595657326</v>
      </c>
      <c r="E1491" s="1100">
        <v>0.97627719982319106</v>
      </c>
      <c r="F1491" s="1100">
        <v>1.0040143652631666</v>
      </c>
      <c r="G1491" s="1100">
        <v>0.97636119226023921</v>
      </c>
      <c r="H1491" s="1100">
        <v>1.0283297306900734</v>
      </c>
      <c r="I1491" s="1100">
        <v>1.0088146144588868</v>
      </c>
      <c r="K1491">
        <v>1.3240210495497993</v>
      </c>
      <c r="L1491">
        <v>0</v>
      </c>
      <c r="M1491">
        <v>6.578355260127292E-4</v>
      </c>
      <c r="N1491">
        <v>5.6307834569891656E-2</v>
      </c>
      <c r="O1491">
        <v>7.8597644092828368E-3</v>
      </c>
      <c r="P1491">
        <v>1.6035572236060509E-2</v>
      </c>
      <c r="Q1491">
        <v>4.4426847689057461E-4</v>
      </c>
      <c r="R1491">
        <v>6.5594784438143428E-4</v>
      </c>
      <c r="S1491">
        <v>6.3038197236100171E-2</v>
      </c>
      <c r="T1491">
        <v>1.0372405261557804</v>
      </c>
      <c r="U1491">
        <v>0</v>
      </c>
      <c r="V1491">
        <v>9.6578093264854573E-2</v>
      </c>
      <c r="W1491">
        <v>3.7520654035662744E-2</v>
      </c>
      <c r="X1491">
        <v>7.2127530476504085E-3</v>
      </c>
      <c r="Y1491">
        <v>1.7852737992574775E-3</v>
      </c>
    </row>
    <row r="1492" spans="1:25" x14ac:dyDescent="0.25">
      <c r="A1492" s="1096"/>
      <c r="B1492" s="1455">
        <v>1242</v>
      </c>
      <c r="C1492" s="1100">
        <v>1.0188013577575366</v>
      </c>
      <c r="D1492" s="1100">
        <v>0.96890389751434436</v>
      </c>
      <c r="E1492" s="1100">
        <v>0.98055073446384977</v>
      </c>
      <c r="F1492" s="1100">
        <v>1.0346156072915975</v>
      </c>
      <c r="G1492" s="1100">
        <v>0.97847498859427973</v>
      </c>
      <c r="H1492" s="1100">
        <v>1.0001708037385808</v>
      </c>
      <c r="I1492" s="1100">
        <v>0.9868354332420598</v>
      </c>
      <c r="K1492">
        <v>1.3480287170247789</v>
      </c>
      <c r="L1492">
        <v>0</v>
      </c>
      <c r="M1492">
        <v>6.220943773578326E-4</v>
      </c>
      <c r="N1492">
        <v>5.3937248377548513E-2</v>
      </c>
      <c r="O1492">
        <v>7.7108456800041381E-3</v>
      </c>
      <c r="P1492">
        <v>1.6460366587396254E-2</v>
      </c>
      <c r="Q1492">
        <v>4.3774989943495525E-4</v>
      </c>
      <c r="R1492">
        <v>6.2025899766741087E-4</v>
      </c>
      <c r="S1492">
        <v>5.9659759845359706E-2</v>
      </c>
      <c r="T1492">
        <v>1.0687200065291704</v>
      </c>
      <c r="U1492">
        <v>0</v>
      </c>
      <c r="V1492">
        <v>9.6199288874637856E-2</v>
      </c>
      <c r="W1492">
        <v>3.5848275698566176E-2</v>
      </c>
      <c r="X1492">
        <v>7.3688703890239836E-3</v>
      </c>
      <c r="Y1492">
        <v>1.6881405233270636E-3</v>
      </c>
    </row>
    <row r="1493" spans="1:25" x14ac:dyDescent="0.25">
      <c r="A1493" s="1096"/>
      <c r="B1493" s="1455">
        <v>1243</v>
      </c>
      <c r="C1493" s="1100">
        <v>0.97224899392126918</v>
      </c>
      <c r="D1493" s="1100">
        <v>0.95726330247329194</v>
      </c>
      <c r="E1493" s="1100">
        <v>0.99635363279895939</v>
      </c>
      <c r="F1493" s="1100">
        <v>1.0121245694405523</v>
      </c>
      <c r="G1493" s="1100">
        <v>0.96883086892522219</v>
      </c>
      <c r="H1493" s="1100">
        <v>0.98365074777743833</v>
      </c>
      <c r="I1493" s="1100">
        <v>1.0071059606761839</v>
      </c>
      <c r="K1493">
        <v>1.3339389601230922</v>
      </c>
      <c r="L1493">
        <v>0</v>
      </c>
      <c r="M1493">
        <v>6.2348253869369584E-4</v>
      </c>
      <c r="N1493">
        <v>5.670061445437475E-2</v>
      </c>
      <c r="O1493">
        <v>8.1232621725640351E-3</v>
      </c>
      <c r="P1493">
        <v>1.6399824847017512E-2</v>
      </c>
      <c r="Q1493">
        <v>4.6859484354394229E-4</v>
      </c>
      <c r="R1493">
        <v>6.2161217016208029E-4</v>
      </c>
      <c r="S1493">
        <v>6.3700900570192925E-2</v>
      </c>
      <c r="T1493">
        <v>1.045005996525852</v>
      </c>
      <c r="U1493">
        <v>0</v>
      </c>
      <c r="V1493">
        <v>9.6914740348512385E-2</v>
      </c>
      <c r="W1493">
        <v>3.7329378236474531E-2</v>
      </c>
      <c r="X1493">
        <v>7.6056950803062972E-3</v>
      </c>
      <c r="Y1493">
        <v>1.6918234127843606E-3</v>
      </c>
    </row>
    <row r="1494" spans="1:25" x14ac:dyDescent="0.25">
      <c r="A1494" s="1096"/>
      <c r="B1494" s="1455">
        <v>1244</v>
      </c>
      <c r="C1494" s="1100">
        <v>1.0068701832180187</v>
      </c>
      <c r="D1494" s="1100">
        <v>0.97624582510248692</v>
      </c>
      <c r="E1494" s="1100">
        <v>0.96713693499537512</v>
      </c>
      <c r="F1494" s="1100">
        <v>0.99462989170425165</v>
      </c>
      <c r="G1494" s="1100">
        <v>0.9973485052427965</v>
      </c>
      <c r="H1494" s="1100">
        <v>1.0309777972224201</v>
      </c>
      <c r="I1494" s="1100">
        <v>1.0038670915622709</v>
      </c>
      <c r="K1494">
        <v>1.312606455642056</v>
      </c>
      <c r="L1494">
        <v>0</v>
      </c>
      <c r="M1494">
        <v>6.6507422098027898E-4</v>
      </c>
      <c r="N1494">
        <v>5.5374132579111175E-2</v>
      </c>
      <c r="O1494">
        <v>7.7754054716436009E-3</v>
      </c>
      <c r="P1494">
        <v>1.5796665454796899E-2</v>
      </c>
      <c r="Q1494">
        <v>4.3541728905711213E-4</v>
      </c>
      <c r="R1494">
        <v>6.6317066952765633E-4</v>
      </c>
      <c r="S1494">
        <v>6.209335141555735E-2</v>
      </c>
      <c r="T1494">
        <v>1.027823784568241</v>
      </c>
      <c r="U1494">
        <v>0</v>
      </c>
      <c r="V1494">
        <v>9.7385616002101036E-2</v>
      </c>
      <c r="W1494">
        <v>3.71040446886996E-2</v>
      </c>
      <c r="X1494">
        <v>7.0150097759970808E-3</v>
      </c>
      <c r="Y1494">
        <v>1.8049319483018249E-3</v>
      </c>
    </row>
    <row r="1495" spans="1:25" x14ac:dyDescent="0.25">
      <c r="A1495" s="1096"/>
      <c r="B1495" s="1455">
        <v>1245</v>
      </c>
      <c r="C1495" s="1100">
        <v>0.97581831501786487</v>
      </c>
      <c r="D1495" s="1100">
        <v>0.97877518735927271</v>
      </c>
      <c r="E1495" s="1100">
        <v>0.99530651013758953</v>
      </c>
      <c r="F1495" s="1100">
        <v>0.99782284353944029</v>
      </c>
      <c r="G1495" s="1100">
        <v>1.0242683868240798</v>
      </c>
      <c r="H1495" s="1100">
        <v>0.99845004055175746</v>
      </c>
      <c r="I1495" s="1100">
        <v>0.96676665081844049</v>
      </c>
      <c r="K1495">
        <v>1.318473907125608</v>
      </c>
      <c r="L1495">
        <v>0</v>
      </c>
      <c r="M1495">
        <v>6.263258366424778E-4</v>
      </c>
      <c r="N1495">
        <v>5.6781755893008434E-2</v>
      </c>
      <c r="O1495">
        <v>8.021655680943901E-3</v>
      </c>
      <c r="P1495">
        <v>1.6180417903392835E-2</v>
      </c>
      <c r="Q1495">
        <v>4.6224570025068959E-4</v>
      </c>
      <c r="R1495">
        <v>6.2447478810586244E-4</v>
      </c>
      <c r="S1495">
        <v>6.0651550547627657E-2</v>
      </c>
      <c r="T1495">
        <v>1.0302708726285734</v>
      </c>
      <c r="U1495">
        <v>0</v>
      </c>
      <c r="V1495">
        <v>9.9502152485164239E-2</v>
      </c>
      <c r="W1495">
        <v>3.7406147771944884E-2</v>
      </c>
      <c r="X1495">
        <v>7.499345048071415E-3</v>
      </c>
      <c r="Y1495">
        <v>1.6996145151655839E-3</v>
      </c>
    </row>
    <row r="1496" spans="1:25" x14ac:dyDescent="0.25">
      <c r="A1496" s="1096"/>
      <c r="B1496" s="1455">
        <v>1246</v>
      </c>
      <c r="C1496" s="1100">
        <v>0.99381053638053385</v>
      </c>
      <c r="D1496" s="1100">
        <v>0.96765309631846796</v>
      </c>
      <c r="E1496" s="1100">
        <v>0.97626190279843217</v>
      </c>
      <c r="F1496" s="1100">
        <v>1.0089598110132114</v>
      </c>
      <c r="G1496" s="1100">
        <v>0.99232602347061083</v>
      </c>
      <c r="H1496" s="1100">
        <v>1.0043537423314048</v>
      </c>
      <c r="I1496" s="1100">
        <v>1.0136592077819362</v>
      </c>
      <c r="K1496">
        <v>1.3284820281690373</v>
      </c>
      <c r="L1496">
        <v>0</v>
      </c>
      <c r="M1496">
        <v>6.4644210651395705E-4</v>
      </c>
      <c r="N1496">
        <v>5.5326245108444375E-2</v>
      </c>
      <c r="O1496">
        <v>7.9077620640234311E-3</v>
      </c>
      <c r="P1496">
        <v>1.6115276534230054E-2</v>
      </c>
      <c r="Q1496">
        <v>4.469745515830905E-4</v>
      </c>
      <c r="R1496">
        <v>6.4454283631874625E-4</v>
      </c>
      <c r="S1496">
        <v>6.299365290067642E-2</v>
      </c>
      <c r="T1496">
        <v>1.0423501034338085</v>
      </c>
      <c r="U1496">
        <v>0</v>
      </c>
      <c r="V1496">
        <v>9.7476039139839543E-2</v>
      </c>
      <c r="W1496">
        <v>3.6866914680828686E-2</v>
      </c>
      <c r="X1496">
        <v>7.2467258988280769E-3</v>
      </c>
      <c r="Y1496">
        <v>1.7542331269707386E-3</v>
      </c>
    </row>
    <row r="1497" spans="1:25" x14ac:dyDescent="0.25">
      <c r="A1497" s="1096"/>
      <c r="B1497" s="1455">
        <v>1247</v>
      </c>
      <c r="C1497" s="1100">
        <v>1.0116410325420417</v>
      </c>
      <c r="D1497" s="1100">
        <v>1.0164690502381966</v>
      </c>
      <c r="E1497" s="1100">
        <v>1.0446838300298977</v>
      </c>
      <c r="F1497" s="1100">
        <v>0.97744346076098532</v>
      </c>
      <c r="G1497" s="1100">
        <v>0.99034781917536052</v>
      </c>
      <c r="H1497" s="1100">
        <v>0.96871553815376765</v>
      </c>
      <c r="I1497" s="1100">
        <v>0.99284481276675618</v>
      </c>
      <c r="K1497">
        <v>1.2866533764325156</v>
      </c>
      <c r="L1497">
        <v>0</v>
      </c>
      <c r="M1497">
        <v>5.2099177075636493E-4</v>
      </c>
      <c r="N1497">
        <v>5.4814157312918471E-2</v>
      </c>
      <c r="O1497">
        <v>7.6334674938518142E-3</v>
      </c>
      <c r="P1497">
        <v>1.6388501496059641E-2</v>
      </c>
      <c r="Q1497">
        <v>4.6200905565010766E-4</v>
      </c>
      <c r="R1497">
        <v>5.1940476531428135E-4</v>
      </c>
      <c r="S1497">
        <v>5.8037227267951165E-2</v>
      </c>
      <c r="T1497">
        <v>1.007820828866673</v>
      </c>
      <c r="U1497">
        <v>0</v>
      </c>
      <c r="V1497">
        <v>9.7017131110616425E-2</v>
      </c>
      <c r="W1497">
        <v>3.5081634128004191E-2</v>
      </c>
      <c r="X1497">
        <v>7.9863581567816647E-3</v>
      </c>
      <c r="Y1497">
        <v>1.4136485494506046E-3</v>
      </c>
    </row>
    <row r="1498" spans="1:25" x14ac:dyDescent="0.25">
      <c r="A1498" s="1096"/>
      <c r="B1498" s="1455">
        <v>1248</v>
      </c>
      <c r="C1498" s="1100">
        <v>1.0086816571222523</v>
      </c>
      <c r="D1498" s="1100">
        <v>0.98243155113441072</v>
      </c>
      <c r="E1498" s="1100">
        <v>0.96868828010429764</v>
      </c>
      <c r="F1498" s="1100">
        <v>1.020416331807416</v>
      </c>
      <c r="G1498" s="1100">
        <v>0.97704249914450125</v>
      </c>
      <c r="H1498" s="1100">
        <v>0.98118174470394626</v>
      </c>
      <c r="I1498" s="1100">
        <v>0.99992041434905743</v>
      </c>
      <c r="K1498">
        <v>1.3316580483492941</v>
      </c>
      <c r="L1498">
        <v>0</v>
      </c>
      <c r="M1498">
        <v>6.2820578583680021E-4</v>
      </c>
      <c r="N1498">
        <v>5.2543113952411125E-2</v>
      </c>
      <c r="O1498">
        <v>7.7422354625184186E-3</v>
      </c>
      <c r="P1498">
        <v>1.6128411806384479E-2</v>
      </c>
      <c r="Q1498">
        <v>4.3424858915577634E-4</v>
      </c>
      <c r="R1498">
        <v>6.2631650599421747E-4</v>
      </c>
      <c r="S1498">
        <v>6.0014191668983141E-2</v>
      </c>
      <c r="T1498">
        <v>1.0544221592827163</v>
      </c>
      <c r="U1498">
        <v>0</v>
      </c>
      <c r="V1498">
        <v>9.6360996742219276E-2</v>
      </c>
      <c r="W1498">
        <v>3.517380764793597E-2</v>
      </c>
      <c r="X1498">
        <v>7.1361454126761727E-3</v>
      </c>
      <c r="Y1498">
        <v>1.704627064135548E-3</v>
      </c>
    </row>
    <row r="1499" spans="1:25" x14ac:dyDescent="0.25">
      <c r="A1499" s="1096"/>
      <c r="B1499" s="1455">
        <v>1249</v>
      </c>
      <c r="C1499" s="1100">
        <v>1.0297417948848477</v>
      </c>
      <c r="D1499" s="1100">
        <v>0.96128230014676663</v>
      </c>
      <c r="E1499" s="1100">
        <v>0.99908046956787311</v>
      </c>
      <c r="F1499" s="1100">
        <v>1.0340353570188334</v>
      </c>
      <c r="G1499" s="1100">
        <v>0.97881827413116618</v>
      </c>
      <c r="H1499" s="1100">
        <v>1.0084085075465241</v>
      </c>
      <c r="I1499" s="1100">
        <v>0.98802613502339809</v>
      </c>
      <c r="K1499">
        <v>1.3482027120296578</v>
      </c>
      <c r="L1499">
        <v>0</v>
      </c>
      <c r="M1499">
        <v>5.9908106297418002E-4</v>
      </c>
      <c r="N1499">
        <v>5.4936326812897361E-2</v>
      </c>
      <c r="O1499">
        <v>7.6575397477559766E-3</v>
      </c>
      <c r="P1499">
        <v>1.6671930768681443E-2</v>
      </c>
      <c r="Q1499">
        <v>4.429433483895357E-4</v>
      </c>
      <c r="R1499">
        <v>5.9732801860123595E-4</v>
      </c>
      <c r="S1499">
        <v>5.9611352588510351E-2</v>
      </c>
      <c r="T1499">
        <v>1.0675444925791444</v>
      </c>
      <c r="U1499">
        <v>0</v>
      </c>
      <c r="V1499">
        <v>9.597778266669274E-2</v>
      </c>
      <c r="W1499">
        <v>3.6109168292362007E-2</v>
      </c>
      <c r="X1499">
        <v>7.6271983120932019E-3</v>
      </c>
      <c r="Y1499">
        <v>1.6257299575041526E-3</v>
      </c>
    </row>
    <row r="1500" spans="1:25" x14ac:dyDescent="0.25">
      <c r="A1500" s="1096"/>
      <c r="B1500" s="1455">
        <v>1250</v>
      </c>
      <c r="C1500" s="1100">
        <v>0.96003630759348813</v>
      </c>
      <c r="D1500" s="1100">
        <v>0.97977222203401682</v>
      </c>
      <c r="E1500" s="1100">
        <v>0.9934085579672377</v>
      </c>
      <c r="F1500" s="1100">
        <v>1.0084296614512505</v>
      </c>
      <c r="G1500" s="1100">
        <v>1.0168347871805665</v>
      </c>
      <c r="H1500" s="1100">
        <v>0.9844288392616013</v>
      </c>
      <c r="I1500" s="1100">
        <v>0.99266656581595758</v>
      </c>
      <c r="K1500">
        <v>1.3320977821583015</v>
      </c>
      <c r="L1500">
        <v>0</v>
      </c>
      <c r="M1500">
        <v>6.2989917731919173E-4</v>
      </c>
      <c r="N1500">
        <v>5.6776663357029571E-2</v>
      </c>
      <c r="O1500">
        <v>8.1497147056427029E-3</v>
      </c>
      <c r="P1500">
        <v>1.6336986957995243E-2</v>
      </c>
      <c r="Q1500">
        <v>4.6872717894073148E-4</v>
      </c>
      <c r="R1500">
        <v>6.2801105323732898E-4</v>
      </c>
      <c r="S1500">
        <v>6.2817364996930247E-2</v>
      </c>
      <c r="T1500">
        <v>1.0412799028234894</v>
      </c>
      <c r="U1500">
        <v>0</v>
      </c>
      <c r="V1500">
        <v>9.9557864042256944E-2</v>
      </c>
      <c r="W1500">
        <v>3.7445197262079601E-2</v>
      </c>
      <c r="X1500">
        <v>7.5580098948952188E-3</v>
      </c>
      <c r="Y1500">
        <v>1.7092390631239485E-3</v>
      </c>
    </row>
    <row r="1501" spans="1:25" x14ac:dyDescent="0.25">
      <c r="A1501" s="1096"/>
      <c r="B1501" s="1455">
        <v>1251</v>
      </c>
      <c r="C1501" s="1100">
        <v>1.0217723948831823</v>
      </c>
      <c r="D1501" s="1100">
        <v>1.0453674517411675</v>
      </c>
      <c r="E1501" s="1100">
        <v>1.0014186514858143</v>
      </c>
      <c r="F1501" s="1100">
        <v>1.0004455949401827</v>
      </c>
      <c r="G1501" s="1100">
        <v>0.98388395634868675</v>
      </c>
      <c r="H1501" s="1100">
        <v>0.99816483581782955</v>
      </c>
      <c r="I1501" s="1100">
        <v>1.0348911758961605</v>
      </c>
      <c r="K1501">
        <v>1.310173973939829</v>
      </c>
      <c r="L1501">
        <v>0</v>
      </c>
      <c r="M1501">
        <v>5.751112523080371E-4</v>
      </c>
      <c r="N1501">
        <v>5.3110535006357741E-2</v>
      </c>
      <c r="O1501">
        <v>7.4632560008686451E-3</v>
      </c>
      <c r="P1501">
        <v>1.623585350266139E-2</v>
      </c>
      <c r="Q1501">
        <v>4.3272086971646702E-4</v>
      </c>
      <c r="R1501">
        <v>5.734110781253505E-4</v>
      </c>
      <c r="S1501">
        <v>5.9852773240732793E-2</v>
      </c>
      <c r="T1501">
        <v>1.0327966048201729</v>
      </c>
      <c r="U1501">
        <v>0</v>
      </c>
      <c r="V1501">
        <v>9.6413130997040908E-2</v>
      </c>
      <c r="W1501">
        <v>3.4860621776898901E-2</v>
      </c>
      <c r="X1501">
        <v>7.44954196981384E-3</v>
      </c>
      <c r="Y1501">
        <v>1.5606359297461018E-3</v>
      </c>
    </row>
    <row r="1502" spans="1:25" x14ac:dyDescent="0.25">
      <c r="A1502" s="1096"/>
      <c r="B1502" s="1455">
        <v>1252</v>
      </c>
      <c r="C1502" s="1100">
        <v>1.0290975881560647</v>
      </c>
      <c r="D1502" s="1100">
        <v>0.97387363018230344</v>
      </c>
      <c r="E1502" s="1100">
        <v>1.0110552790591334</v>
      </c>
      <c r="F1502" s="1100">
        <v>1.0190413626777051</v>
      </c>
      <c r="G1502" s="1100">
        <v>0.96477457368323649</v>
      </c>
      <c r="H1502" s="1100">
        <v>0.9946536005467923</v>
      </c>
      <c r="I1502" s="1100">
        <v>0.99518882809953668</v>
      </c>
      <c r="K1502">
        <v>1.3303747244705981</v>
      </c>
      <c r="L1502">
        <v>0</v>
      </c>
      <c r="M1502">
        <v>5.7376756752734628E-4</v>
      </c>
      <c r="N1502">
        <v>5.4550491040920933E-2</v>
      </c>
      <c r="O1502">
        <v>7.6254407236987674E-3</v>
      </c>
      <c r="P1502">
        <v>1.6589287506908162E-2</v>
      </c>
      <c r="Q1502">
        <v>4.4641295023348454E-4</v>
      </c>
      <c r="R1502">
        <v>5.7206537783937369E-4</v>
      </c>
      <c r="S1502">
        <v>5.9263872436024725E-2</v>
      </c>
      <c r="T1502">
        <v>1.0517032226710135</v>
      </c>
      <c r="U1502">
        <v>0</v>
      </c>
      <c r="V1502">
        <v>9.5326580550560397E-2</v>
      </c>
      <c r="W1502">
        <v>3.5602287688088846E-2</v>
      </c>
      <c r="X1502">
        <v>7.7118577156597354E-3</v>
      </c>
      <c r="Y1502">
        <v>1.5569733771776521E-3</v>
      </c>
    </row>
    <row r="1503" spans="1:25" x14ac:dyDescent="0.25">
      <c r="A1503" s="1096"/>
      <c r="B1503" s="1455">
        <v>1253</v>
      </c>
      <c r="C1503" s="1100">
        <v>0.9992093859505089</v>
      </c>
      <c r="D1503" s="1100">
        <v>1.0049209589501067</v>
      </c>
      <c r="E1503" s="1100">
        <v>1.0213138608545898</v>
      </c>
      <c r="F1503" s="1100">
        <v>0.99741745797021486</v>
      </c>
      <c r="G1503" s="1100">
        <v>0.9950884029599788</v>
      </c>
      <c r="H1503" s="1100">
        <v>1.020208277285932</v>
      </c>
      <c r="I1503" s="1100">
        <v>0.99735950452902422</v>
      </c>
      <c r="K1503">
        <v>1.3163715393856206</v>
      </c>
      <c r="L1503">
        <v>0</v>
      </c>
      <c r="M1503">
        <v>5.8591795433008624E-4</v>
      </c>
      <c r="N1503">
        <v>5.7461388672952945E-2</v>
      </c>
      <c r="O1503">
        <v>7.7580837302156768E-3</v>
      </c>
      <c r="P1503">
        <v>1.6455190306119617E-2</v>
      </c>
      <c r="Q1503">
        <v>4.5884370583067983E-4</v>
      </c>
      <c r="R1503">
        <v>5.8422325841784326E-4</v>
      </c>
      <c r="S1503">
        <v>6.0935012658701056E-2</v>
      </c>
      <c r="T1503">
        <v>1.0290866012068083</v>
      </c>
      <c r="U1503">
        <v>0</v>
      </c>
      <c r="V1503">
        <v>9.7525155506431413E-2</v>
      </c>
      <c r="W1503">
        <v>3.7277000534270063E-2</v>
      </c>
      <c r="X1503">
        <v>7.8258946399350007E-3</v>
      </c>
      <c r="Y1503">
        <v>1.5900631202679912E-3</v>
      </c>
    </row>
    <row r="1504" spans="1:25" x14ac:dyDescent="0.25">
      <c r="A1504" s="1096"/>
      <c r="B1504" s="1455">
        <v>1254</v>
      </c>
      <c r="C1504" s="1100">
        <v>1.0216414556113855</v>
      </c>
      <c r="D1504" s="1100">
        <v>0.98304476634784177</v>
      </c>
      <c r="E1504" s="1100">
        <v>1.0063158424344982</v>
      </c>
      <c r="F1504" s="1100">
        <v>1.0218616866693795</v>
      </c>
      <c r="G1504" s="1100">
        <v>1.0000921728088858</v>
      </c>
      <c r="H1504" s="1100">
        <v>0.96063677260313129</v>
      </c>
      <c r="I1504" s="1100">
        <v>1.0032917767819096</v>
      </c>
      <c r="K1504">
        <v>1.3317524421544635</v>
      </c>
      <c r="L1504">
        <v>0</v>
      </c>
      <c r="M1504">
        <v>5.6160169809598239E-4</v>
      </c>
      <c r="N1504">
        <v>5.2629674243659039E-2</v>
      </c>
      <c r="O1504">
        <v>7.6512001393504656E-3</v>
      </c>
      <c r="P1504">
        <v>1.6593095506802068E-2</v>
      </c>
      <c r="Q1504">
        <v>4.4580233158552268E-4</v>
      </c>
      <c r="R1504">
        <v>5.5987660306791912E-4</v>
      </c>
      <c r="S1504">
        <v>5.8848352432837599E-2</v>
      </c>
      <c r="T1504">
        <v>1.0547568444489779</v>
      </c>
      <c r="U1504">
        <v>0</v>
      </c>
      <c r="V1504">
        <v>9.720578176687511E-2</v>
      </c>
      <c r="W1504">
        <v>3.4444899226616317E-2</v>
      </c>
      <c r="X1504">
        <v>7.6547176025096387E-3</v>
      </c>
      <c r="Y1504">
        <v>1.5237995502782773E-3</v>
      </c>
    </row>
    <row r="1505" spans="1:25" x14ac:dyDescent="0.25">
      <c r="A1505" s="1096"/>
      <c r="B1505" s="1455">
        <v>1255</v>
      </c>
      <c r="C1505" s="1100">
        <v>1.0246599413479478</v>
      </c>
      <c r="D1505" s="1100">
        <v>1.0200696946533041</v>
      </c>
      <c r="E1505" s="1100">
        <v>0.9894140579946904</v>
      </c>
      <c r="F1505" s="1100">
        <v>0.98602876205464729</v>
      </c>
      <c r="G1505" s="1100">
        <v>0.98506986660366291</v>
      </c>
      <c r="H1505" s="1100">
        <v>0.99370955484457579</v>
      </c>
      <c r="I1505" s="1100">
        <v>1.0036745515933543</v>
      </c>
      <c r="K1505">
        <v>1.2932329239441336</v>
      </c>
      <c r="L1505">
        <v>0</v>
      </c>
      <c r="M1505">
        <v>5.9107943679581349E-4</v>
      </c>
      <c r="N1505">
        <v>5.2639576910661727E-2</v>
      </c>
      <c r="O1505">
        <v>7.5126578968340192E-3</v>
      </c>
      <c r="P1505">
        <v>1.5875321144994761E-2</v>
      </c>
      <c r="Q1505">
        <v>4.303474664598674E-4</v>
      </c>
      <c r="R1505">
        <v>5.8932422227370661E-4</v>
      </c>
      <c r="S1505">
        <v>5.8504652472901875E-2</v>
      </c>
      <c r="T1505">
        <v>1.0182675246116657</v>
      </c>
      <c r="U1505">
        <v>0</v>
      </c>
      <c r="V1505">
        <v>9.6388950996226561E-2</v>
      </c>
      <c r="W1505">
        <v>3.4799798703756823E-2</v>
      </c>
      <c r="X1505">
        <v>7.2119026928022887E-3</v>
      </c>
      <c r="Y1505">
        <v>1.6039462623513683E-3</v>
      </c>
    </row>
    <row r="1506" spans="1:25" x14ac:dyDescent="0.25">
      <c r="A1506" s="1096"/>
      <c r="B1506" s="1455">
        <v>1256</v>
      </c>
      <c r="C1506" s="1100">
        <v>0.97062264852305213</v>
      </c>
      <c r="D1506" s="1100">
        <v>1.0318341540837646</v>
      </c>
      <c r="E1506" s="1100">
        <v>0.97807964114108847</v>
      </c>
      <c r="F1506" s="1100">
        <v>1.0234362021123167</v>
      </c>
      <c r="G1506" s="1100">
        <v>0.97912905594163402</v>
      </c>
      <c r="H1506" s="1100">
        <v>1.0199568636815206</v>
      </c>
      <c r="I1506" s="1100">
        <v>1.0070706591910155</v>
      </c>
      <c r="K1506">
        <v>1.3444183734234476</v>
      </c>
      <c r="L1506">
        <v>0</v>
      </c>
      <c r="M1506">
        <v>6.5266480108485455E-4</v>
      </c>
      <c r="N1506">
        <v>5.6169477373675537E-2</v>
      </c>
      <c r="O1506">
        <v>7.8917910527403438E-3</v>
      </c>
      <c r="P1506">
        <v>1.6328970751664625E-2</v>
      </c>
      <c r="Q1506">
        <v>4.4689801491303179E-4</v>
      </c>
      <c r="R1506">
        <v>6.5077658277392617E-4</v>
      </c>
      <c r="S1506">
        <v>6.2400693035200933E-2</v>
      </c>
      <c r="T1506">
        <v>1.0572489301948498</v>
      </c>
      <c r="U1506">
        <v>0</v>
      </c>
      <c r="V1506">
        <v>9.7435245299417328E-2</v>
      </c>
      <c r="W1506">
        <v>3.7387655420707953E-2</v>
      </c>
      <c r="X1506">
        <v>7.3394011687196387E-3</v>
      </c>
      <c r="Y1506">
        <v>1.7711993298677715E-3</v>
      </c>
    </row>
    <row r="1507" spans="1:25" x14ac:dyDescent="0.25">
      <c r="A1507" s="1096"/>
      <c r="B1507" s="1455">
        <v>1257</v>
      </c>
      <c r="C1507" s="1100">
        <v>0.99509259769160441</v>
      </c>
      <c r="D1507" s="1100">
        <v>0.99949464672912658</v>
      </c>
      <c r="E1507" s="1100">
        <v>0.9737584714089218</v>
      </c>
      <c r="F1507" s="1100">
        <v>0.99975922798471439</v>
      </c>
      <c r="G1507" s="1100">
        <v>0.98545081068401508</v>
      </c>
      <c r="H1507" s="1100">
        <v>0.97270345542232428</v>
      </c>
      <c r="I1507" s="1100">
        <v>0.99155555341870094</v>
      </c>
      <c r="K1507">
        <v>1.3103487295741065</v>
      </c>
      <c r="L1507">
        <v>0</v>
      </c>
      <c r="M1507">
        <v>6.2041963749489431E-4</v>
      </c>
      <c r="N1507">
        <v>5.2693211356488405E-2</v>
      </c>
      <c r="O1507">
        <v>7.7953408568810856E-3</v>
      </c>
      <c r="P1507">
        <v>1.5906994509841319E-2</v>
      </c>
      <c r="Q1507">
        <v>4.3949727277946483E-4</v>
      </c>
      <c r="R1507">
        <v>6.1853751062310224E-4</v>
      </c>
      <c r="S1507">
        <v>5.9515627904389634E-2</v>
      </c>
      <c r="T1507">
        <v>1.0329214056261578</v>
      </c>
      <c r="U1507">
        <v>0</v>
      </c>
      <c r="V1507">
        <v>9.7108614557235753E-2</v>
      </c>
      <c r="W1507">
        <v>3.516570758111448E-2</v>
      </c>
      <c r="X1507">
        <v>7.1207568330100756E-3</v>
      </c>
      <c r="Y1507">
        <v>1.683455203080507E-3</v>
      </c>
    </row>
    <row r="1508" spans="1:25" x14ac:dyDescent="0.25">
      <c r="A1508" s="1096"/>
      <c r="B1508" s="1455">
        <v>1258</v>
      </c>
      <c r="C1508" s="1100">
        <v>1.0212471486300376</v>
      </c>
      <c r="D1508" s="1100">
        <v>1.0180108191371242</v>
      </c>
      <c r="E1508" s="1100">
        <v>1.0133637737938848</v>
      </c>
      <c r="F1508" s="1100">
        <v>0.9855933052603334</v>
      </c>
      <c r="G1508" s="1100">
        <v>1.0053585156769669</v>
      </c>
      <c r="H1508" s="1100">
        <v>1.0018732004326343</v>
      </c>
      <c r="I1508" s="1100">
        <v>0.98276461169620188</v>
      </c>
      <c r="K1508">
        <v>1.2956948881714363</v>
      </c>
      <c r="L1508">
        <v>0</v>
      </c>
      <c r="M1508">
        <v>5.6940220545596452E-4</v>
      </c>
      <c r="N1508">
        <v>5.451517127021363E-2</v>
      </c>
      <c r="O1508">
        <v>7.5495747944235407E-3</v>
      </c>
      <c r="P1508">
        <v>1.615061589718824E-2</v>
      </c>
      <c r="Q1508">
        <v>4.4299141594152439E-4</v>
      </c>
      <c r="R1508">
        <v>5.6772513926545674E-4</v>
      </c>
      <c r="S1508">
        <v>5.7800004099862537E-2</v>
      </c>
      <c r="T1508">
        <v>1.0171162066221378</v>
      </c>
      <c r="U1508">
        <v>0</v>
      </c>
      <c r="V1508">
        <v>9.7477777906159441E-2</v>
      </c>
      <c r="W1508">
        <v>3.5530920607159143E-2</v>
      </c>
      <c r="X1508">
        <v>7.5681419460012665E-3</v>
      </c>
      <c r="Y1508">
        <v>1.5451606785387123E-3</v>
      </c>
    </row>
    <row r="1509" spans="1:25" x14ac:dyDescent="0.25">
      <c r="A1509" s="1096"/>
      <c r="B1509" s="1455">
        <v>1259</v>
      </c>
      <c r="C1509" s="1100">
        <v>1.0189210779225852</v>
      </c>
      <c r="D1509" s="1100">
        <v>0.9979221392728076</v>
      </c>
      <c r="E1509" s="1100">
        <v>0.99335626244494146</v>
      </c>
      <c r="F1509" s="1100">
        <v>0.98815199498660622</v>
      </c>
      <c r="G1509" s="1100">
        <v>0.96683409730937808</v>
      </c>
      <c r="H1509" s="1100">
        <v>1.0140044925908995</v>
      </c>
      <c r="I1509" s="1100">
        <v>0.99069750675761747</v>
      </c>
      <c r="K1509">
        <v>1.299107286270607</v>
      </c>
      <c r="L1509">
        <v>0</v>
      </c>
      <c r="M1509">
        <v>6.069209822527255E-4</v>
      </c>
      <c r="N1509">
        <v>5.4701647852110527E-2</v>
      </c>
      <c r="O1509">
        <v>7.6225483110987403E-3</v>
      </c>
      <c r="P1509">
        <v>1.5952272121692635E-2</v>
      </c>
      <c r="Q1509">
        <v>4.383843111435424E-4</v>
      </c>
      <c r="R1509">
        <v>6.0515479766274564E-4</v>
      </c>
      <c r="S1509">
        <v>5.9368158153108114E-2</v>
      </c>
      <c r="T1509">
        <v>1.0203432267393713</v>
      </c>
      <c r="U1509">
        <v>0</v>
      </c>
      <c r="V1509">
        <v>9.5647337875793548E-2</v>
      </c>
      <c r="W1509">
        <v>3.60778156524727E-2</v>
      </c>
      <c r="X1509">
        <v>7.3106295683934034E-3</v>
      </c>
      <c r="Y1509">
        <v>1.6470318700125581E-3</v>
      </c>
    </row>
    <row r="1510" spans="1:25" x14ac:dyDescent="0.25">
      <c r="A1510" s="1096"/>
      <c r="B1510" s="1455">
        <v>1260</v>
      </c>
      <c r="C1510" s="1100">
        <v>1.0093517310838307</v>
      </c>
      <c r="D1510" s="1100">
        <v>1.0141602795853362</v>
      </c>
      <c r="E1510" s="1100">
        <v>1.0043183832369182</v>
      </c>
      <c r="F1510" s="1100">
        <v>0.99516273240878372</v>
      </c>
      <c r="G1510" s="1100">
        <v>0.97113577283856356</v>
      </c>
      <c r="H1510" s="1100">
        <v>0.98389522212759328</v>
      </c>
      <c r="I1510" s="1100">
        <v>0.98359924853653602</v>
      </c>
      <c r="K1510">
        <v>1.3038153080137527</v>
      </c>
      <c r="L1510">
        <v>0</v>
      </c>
      <c r="M1510">
        <v>5.7737984768712421E-4</v>
      </c>
      <c r="N1510">
        <v>5.37867973188541E-2</v>
      </c>
      <c r="O1510">
        <v>7.6479451388761083E-3</v>
      </c>
      <c r="P1510">
        <v>1.6166949102247339E-2</v>
      </c>
      <c r="Q1510">
        <v>4.4472149314045862E-4</v>
      </c>
      <c r="R1510">
        <v>5.756482117576289E-4</v>
      </c>
      <c r="S1510">
        <v>5.8109253131176535E-2</v>
      </c>
      <c r="T1510">
        <v>1.0272572657488375</v>
      </c>
      <c r="U1510">
        <v>0</v>
      </c>
      <c r="V1510">
        <v>9.6098086223307913E-2</v>
      </c>
      <c r="W1510">
        <v>3.5243850415062047E-2</v>
      </c>
      <c r="X1510">
        <v>7.4954464081579235E-3</v>
      </c>
      <c r="Y1510">
        <v>1.5667246700222599E-3</v>
      </c>
    </row>
    <row r="1511" spans="1:25" x14ac:dyDescent="0.25">
      <c r="A1511" s="1096"/>
      <c r="B1511" s="1455">
        <v>1261</v>
      </c>
      <c r="C1511" s="1100">
        <v>0.99712546933711454</v>
      </c>
      <c r="D1511" s="1100">
        <v>1.0107333976582498</v>
      </c>
      <c r="E1511" s="1100">
        <v>0.99580599204583709</v>
      </c>
      <c r="F1511" s="1100">
        <v>1.0211847986524958</v>
      </c>
      <c r="G1511" s="1100">
        <v>1.0208951567314479</v>
      </c>
      <c r="H1511" s="1100">
        <v>1.0463963259269671</v>
      </c>
      <c r="I1511" s="1100">
        <v>1.0098813899449319</v>
      </c>
      <c r="K1511">
        <v>1.3450294092140211</v>
      </c>
      <c r="L1511">
        <v>0</v>
      </c>
      <c r="M1511">
        <v>6.3351693947887424E-4</v>
      </c>
      <c r="N1511">
        <v>5.7528266466525334E-2</v>
      </c>
      <c r="O1511">
        <v>7.7501224173702763E-3</v>
      </c>
      <c r="P1511">
        <v>1.6528686893222126E-2</v>
      </c>
      <c r="Q1511">
        <v>4.4682350301656335E-4</v>
      </c>
      <c r="R1511">
        <v>6.317304278637756E-4</v>
      </c>
      <c r="S1511">
        <v>6.2419616995903753E-2</v>
      </c>
      <c r="T1511">
        <v>1.0543772814692434</v>
      </c>
      <c r="U1511">
        <v>0</v>
      </c>
      <c r="V1511">
        <v>9.8796873995099455E-2</v>
      </c>
      <c r="W1511">
        <v>3.7886638510678403E-2</v>
      </c>
      <c r="X1511">
        <v>7.5775234998125014E-3</v>
      </c>
      <c r="Y1511">
        <v>1.7193619747656202E-3</v>
      </c>
    </row>
    <row r="1512" spans="1:25" x14ac:dyDescent="0.25">
      <c r="A1512" s="1096"/>
      <c r="B1512" s="1455">
        <v>1262</v>
      </c>
      <c r="C1512" s="1100">
        <v>0.95583215256712883</v>
      </c>
      <c r="D1512" s="1100">
        <v>1.0020872241147212</v>
      </c>
      <c r="E1512" s="1100">
        <v>0.99581002810290875</v>
      </c>
      <c r="F1512" s="1100">
        <v>1.0153183633154963</v>
      </c>
      <c r="G1512" s="1100">
        <v>1.0240039430528565</v>
      </c>
      <c r="H1512" s="1100">
        <v>0.98378244357920941</v>
      </c>
      <c r="I1512" s="1100">
        <v>1.0317262943955963</v>
      </c>
      <c r="K1512">
        <v>1.3413913429156636</v>
      </c>
      <c r="L1512">
        <v>0</v>
      </c>
      <c r="M1512">
        <v>6.2347360293460235E-4</v>
      </c>
      <c r="N1512">
        <v>5.6606753542571456E-2</v>
      </c>
      <c r="O1512">
        <v>8.1127712085583767E-3</v>
      </c>
      <c r="P1512">
        <v>1.6494984734160306E-2</v>
      </c>
      <c r="Q1512">
        <v>4.6773346225516033E-4</v>
      </c>
      <c r="R1512">
        <v>6.2160351158578153E-4</v>
      </c>
      <c r="S1512">
        <v>6.4768246319233586E-2</v>
      </c>
      <c r="T1512">
        <v>1.0483200416517438</v>
      </c>
      <c r="U1512">
        <v>0</v>
      </c>
      <c r="V1512">
        <v>0.10002093808467935</v>
      </c>
      <c r="W1512">
        <v>3.7279664047193628E-2</v>
      </c>
      <c r="X1512">
        <v>7.6302801096229736E-3</v>
      </c>
      <c r="Y1512">
        <v>1.6917998469939738E-3</v>
      </c>
    </row>
    <row r="1513" spans="1:25" x14ac:dyDescent="0.25">
      <c r="A1513" s="1096"/>
      <c r="B1513" s="1455">
        <v>1263</v>
      </c>
      <c r="C1513" s="1100">
        <v>0.98239331567568877</v>
      </c>
      <c r="D1513" s="1100">
        <v>1.0272152805220933</v>
      </c>
      <c r="E1513" s="1100">
        <v>0.97863519079642591</v>
      </c>
      <c r="F1513" s="1100">
        <v>0.97455416643150183</v>
      </c>
      <c r="G1513" s="1100">
        <v>1.0189470374649667</v>
      </c>
      <c r="H1513" s="1100">
        <v>0.97450466527748902</v>
      </c>
      <c r="I1513" s="1100">
        <v>0.99234163166912703</v>
      </c>
      <c r="K1513">
        <v>1.2864492677566854</v>
      </c>
      <c r="L1513">
        <v>0</v>
      </c>
      <c r="M1513">
        <v>6.1650688966449611E-4</v>
      </c>
      <c r="N1513">
        <v>5.3139742433168706E-2</v>
      </c>
      <c r="O1513">
        <v>7.8113766708611974E-3</v>
      </c>
      <c r="P1513">
        <v>1.564088571708655E-2</v>
      </c>
      <c r="Q1513">
        <v>4.4259436528408026E-4</v>
      </c>
      <c r="R1513">
        <v>6.1464008950154296E-4</v>
      </c>
      <c r="S1513">
        <v>5.9511127519225569E-2</v>
      </c>
      <c r="T1513">
        <v>1.0067354432126796</v>
      </c>
      <c r="U1513">
        <v>0</v>
      </c>
      <c r="V1513">
        <v>9.9056041490141716E-2</v>
      </c>
      <c r="W1513">
        <v>3.5359117548039047E-2</v>
      </c>
      <c r="X1513">
        <v>7.081957892789952E-3</v>
      </c>
      <c r="Y1513">
        <v>1.6728477075721498E-3</v>
      </c>
    </row>
    <row r="1514" spans="1:25" x14ac:dyDescent="0.25">
      <c r="A1514" s="1096"/>
      <c r="B1514" s="1455">
        <v>1264</v>
      </c>
      <c r="C1514" s="1100">
        <v>1.0110571159560959</v>
      </c>
      <c r="D1514" s="1100">
        <v>0.99528024385561586</v>
      </c>
      <c r="E1514" s="1100">
        <v>0.98274220618750374</v>
      </c>
      <c r="F1514" s="1100">
        <v>1.0188499283343133</v>
      </c>
      <c r="G1514" s="1100">
        <v>1.0453108389164389</v>
      </c>
      <c r="H1514" s="1100">
        <v>0.99721789386650539</v>
      </c>
      <c r="I1514" s="1100">
        <v>1.0415945356835161</v>
      </c>
      <c r="K1514">
        <v>1.33731557166144</v>
      </c>
      <c r="L1514">
        <v>0</v>
      </c>
      <c r="M1514">
        <v>6.1553336595112198E-4</v>
      </c>
      <c r="N1514">
        <v>5.3722920073675767E-2</v>
      </c>
      <c r="O1514">
        <v>7.6874090801572117E-3</v>
      </c>
      <c r="P1514">
        <v>1.6351311976312868E-2</v>
      </c>
      <c r="Q1514">
        <v>4.3739166316110332E-4</v>
      </c>
      <c r="R1514">
        <v>6.1371196585532537E-4</v>
      </c>
      <c r="S1514">
        <v>6.2453357155265572E-2</v>
      </c>
      <c r="T1514">
        <v>1.0523669546820233</v>
      </c>
      <c r="U1514">
        <v>0</v>
      </c>
      <c r="V1514">
        <v>9.9620899349725414E-2</v>
      </c>
      <c r="W1514">
        <v>3.5658671439752002E-2</v>
      </c>
      <c r="X1514">
        <v>7.3481559805007642E-3</v>
      </c>
      <c r="Y1514">
        <v>1.6703216609630237E-3</v>
      </c>
    </row>
    <row r="1515" spans="1:25" x14ac:dyDescent="0.25">
      <c r="A1515" s="1096"/>
      <c r="B1515" s="1455">
        <v>1265</v>
      </c>
      <c r="C1515" s="1100">
        <v>0.99980894121600583</v>
      </c>
      <c r="D1515" s="1100">
        <v>0.98712854415733031</v>
      </c>
      <c r="E1515" s="1100">
        <v>0.98470583140704449</v>
      </c>
      <c r="F1515" s="1100">
        <v>0.97469374771997253</v>
      </c>
      <c r="G1515" s="1100">
        <v>0.99142087373365329</v>
      </c>
      <c r="H1515" s="1100">
        <v>0.96592624156758045</v>
      </c>
      <c r="I1515" s="1100">
        <v>0.99178032214026979</v>
      </c>
      <c r="K1515">
        <v>1.284119626012648</v>
      </c>
      <c r="L1515">
        <v>0</v>
      </c>
      <c r="M1515">
        <v>6.0246026510662207E-4</v>
      </c>
      <c r="N1515">
        <v>5.2890078699745151E-2</v>
      </c>
      <c r="O1515">
        <v>7.7999936485475306E-3</v>
      </c>
      <c r="P1515">
        <v>1.5687991033817312E-2</v>
      </c>
      <c r="Q1515">
        <v>4.4468219422630692E-4</v>
      </c>
      <c r="R1515">
        <v>6.0061979714357049E-4</v>
      </c>
      <c r="S1515">
        <v>5.9451002278611283E-2</v>
      </c>
      <c r="T1515">
        <v>1.0067002728318268</v>
      </c>
      <c r="U1515">
        <v>0</v>
      </c>
      <c r="V1515">
        <v>9.7292027652863822E-2</v>
      </c>
      <c r="W1515">
        <v>3.5064394417283887E-2</v>
      </c>
      <c r="X1515">
        <v>7.1563346301256516E-3</v>
      </c>
      <c r="Y1515">
        <v>1.6346890935618821E-3</v>
      </c>
    </row>
    <row r="1516" spans="1:25" x14ac:dyDescent="0.25">
      <c r="A1516" s="1096"/>
      <c r="B1516" s="1455">
        <v>1266</v>
      </c>
      <c r="C1516" s="1100">
        <v>0.9727803518176743</v>
      </c>
      <c r="D1516" s="1100">
        <v>0.98704161517989564</v>
      </c>
      <c r="E1516" s="1100">
        <v>1.0331719617959634</v>
      </c>
      <c r="F1516" s="1100">
        <v>1.008121572584153</v>
      </c>
      <c r="G1516" s="1100">
        <v>0.99115687546487252</v>
      </c>
      <c r="H1516" s="1100">
        <v>1.0000151786264055</v>
      </c>
      <c r="I1516" s="1100">
        <v>1.0027618568065653</v>
      </c>
      <c r="K1516">
        <v>1.3325893504999506</v>
      </c>
      <c r="L1516">
        <v>0</v>
      </c>
      <c r="M1516">
        <v>5.7967956217863626E-4</v>
      </c>
      <c r="N1516">
        <v>5.8915527606831289E-2</v>
      </c>
      <c r="O1516">
        <v>8.0293086273709163E-3</v>
      </c>
      <c r="P1516">
        <v>1.6781981199220183E-2</v>
      </c>
      <c r="Q1516">
        <v>4.8049390294988773E-4</v>
      </c>
      <c r="R1516">
        <v>5.7796905376360566E-4</v>
      </c>
      <c r="S1516">
        <v>6.290988636534442E-2</v>
      </c>
      <c r="T1516">
        <v>1.0397844225753832</v>
      </c>
      <c r="U1516">
        <v>0</v>
      </c>
      <c r="V1516">
        <v>9.8022487414757484E-2</v>
      </c>
      <c r="W1516">
        <v>3.7957598526665977E-2</v>
      </c>
      <c r="X1516">
        <v>8.1363135529450327E-3</v>
      </c>
      <c r="Y1516">
        <v>1.5730412368971667E-3</v>
      </c>
    </row>
    <row r="1517" spans="1:25" x14ac:dyDescent="0.25">
      <c r="A1517" s="1096"/>
      <c r="B1517" s="1455">
        <v>1267</v>
      </c>
      <c r="C1517" s="1100">
        <v>0.9817064636867171</v>
      </c>
      <c r="D1517" s="1100">
        <v>0.98907403088276302</v>
      </c>
      <c r="E1517" s="1100">
        <v>1.0049222558849809</v>
      </c>
      <c r="F1517" s="1100">
        <v>1.0145781179190065</v>
      </c>
      <c r="G1517" s="1100">
        <v>0.9818173475058436</v>
      </c>
      <c r="H1517" s="1100">
        <v>0.97354095873457847</v>
      </c>
      <c r="I1517" s="1100">
        <v>1.0021021669684751</v>
      </c>
      <c r="K1517">
        <v>1.3316907599082244</v>
      </c>
      <c r="L1517">
        <v>0</v>
      </c>
      <c r="M1517">
        <v>5.9256310206982844E-4</v>
      </c>
      <c r="N1517">
        <v>5.5300218195185241E-2</v>
      </c>
      <c r="O1517">
        <v>7.9426433839439037E-3</v>
      </c>
      <c r="P1517">
        <v>1.650953519563423E-2</v>
      </c>
      <c r="Q1517">
        <v>4.6213766199478391E-4</v>
      </c>
      <c r="R1517">
        <v>5.9076702819539661E-4</v>
      </c>
      <c r="S1517">
        <v>6.1370830744814781E-2</v>
      </c>
      <c r="T1517">
        <v>1.0472806558210352</v>
      </c>
      <c r="U1517">
        <v>0</v>
      </c>
      <c r="V1517">
        <v>9.7306997043499793E-2</v>
      </c>
      <c r="W1517">
        <v>3.6222565291444742E-2</v>
      </c>
      <c r="X1517">
        <v>7.6890995400971229E-3</v>
      </c>
      <c r="Y1517">
        <v>1.6078731044493646E-3</v>
      </c>
    </row>
    <row r="1518" spans="1:25" x14ac:dyDescent="0.25">
      <c r="A1518" s="1096"/>
      <c r="B1518" s="1455">
        <v>1268</v>
      </c>
      <c r="C1518" s="1100">
        <v>0.989566796416956</v>
      </c>
      <c r="D1518" s="1100">
        <v>0.96480161308193058</v>
      </c>
      <c r="E1518" s="1100">
        <v>1.0335290850104579</v>
      </c>
      <c r="F1518" s="1100">
        <v>1.0496620116303059</v>
      </c>
      <c r="G1518" s="1100">
        <v>1.0145701142836558</v>
      </c>
      <c r="H1518" s="1100">
        <v>0.98421684534043452</v>
      </c>
      <c r="I1518" s="1100">
        <v>1.0006720241372957</v>
      </c>
      <c r="K1518">
        <v>1.3735995123536484</v>
      </c>
      <c r="L1518">
        <v>0</v>
      </c>
      <c r="M1518">
        <v>5.6555844968074768E-4</v>
      </c>
      <c r="N1518">
        <v>5.7539499713803482E-2</v>
      </c>
      <c r="O1518">
        <v>7.9654759067167378E-3</v>
      </c>
      <c r="P1518">
        <v>1.7381898280412984E-2</v>
      </c>
      <c r="Q1518">
        <v>4.7684202066552018E-4</v>
      </c>
      <c r="R1518">
        <v>5.6386282191398321E-4</v>
      </c>
      <c r="S1518">
        <v>6.1979039614644404E-2</v>
      </c>
      <c r="T1518">
        <v>1.0826187670473748</v>
      </c>
      <c r="U1518">
        <v>0</v>
      </c>
      <c r="V1518">
        <v>9.8723408617268596E-2</v>
      </c>
      <c r="W1518">
        <v>3.7063398979357703E-2</v>
      </c>
      <c r="X1518">
        <v>8.3182290772493474E-3</v>
      </c>
      <c r="Y1518">
        <v>1.5346487239205739E-3</v>
      </c>
    </row>
    <row r="1519" spans="1:25" x14ac:dyDescent="0.25">
      <c r="A1519" s="1096"/>
      <c r="B1519" s="1455">
        <v>1269</v>
      </c>
      <c r="C1519" s="1100">
        <v>1.0359313546928639</v>
      </c>
      <c r="D1519" s="1100">
        <v>0.99144721607478048</v>
      </c>
      <c r="E1519" s="1100">
        <v>0.96707076777880097</v>
      </c>
      <c r="F1519" s="1100">
        <v>0.99464370266475888</v>
      </c>
      <c r="G1519" s="1100">
        <v>0.98668355697100629</v>
      </c>
      <c r="H1519" s="1100">
        <v>1.0324743349408885</v>
      </c>
      <c r="I1519" s="1100">
        <v>0.99616810068433514</v>
      </c>
      <c r="K1519">
        <v>1.3052797133614986</v>
      </c>
      <c r="L1519">
        <v>0</v>
      </c>
      <c r="M1519">
        <v>6.4345429211020442E-4</v>
      </c>
      <c r="N1519">
        <v>5.3563543823674641E-2</v>
      </c>
      <c r="O1519">
        <v>7.5107011161395397E-3</v>
      </c>
      <c r="P1519">
        <v>1.5744704274909271E-2</v>
      </c>
      <c r="Q1519">
        <v>4.2056554060897639E-4</v>
      </c>
      <c r="R1519">
        <v>6.4161528988112009E-4</v>
      </c>
      <c r="S1519">
        <v>5.9439822615354916E-2</v>
      </c>
      <c r="T1519">
        <v>1.0278400801780956</v>
      </c>
      <c r="U1519">
        <v>0</v>
      </c>
      <c r="V1519">
        <v>9.6179587623464263E-2</v>
      </c>
      <c r="W1519">
        <v>3.5892288579678994E-2</v>
      </c>
      <c r="X1519">
        <v>6.9439933011676532E-3</v>
      </c>
      <c r="Y1519">
        <v>1.7462653106329446E-3</v>
      </c>
    </row>
    <row r="1520" spans="1:25" x14ac:dyDescent="0.25">
      <c r="A1520" s="1096"/>
      <c r="B1520" s="1455">
        <v>1270</v>
      </c>
      <c r="C1520" s="1100">
        <v>0.98893964794545985</v>
      </c>
      <c r="D1520" s="1100">
        <v>1.0094577511349379</v>
      </c>
      <c r="E1520" s="1100">
        <v>1.0012140496241368</v>
      </c>
      <c r="F1520" s="1100">
        <v>1.0006987541034686</v>
      </c>
      <c r="G1520" s="1100">
        <v>0.98664872746699528</v>
      </c>
      <c r="H1520" s="1100">
        <v>1.0308801133456653</v>
      </c>
      <c r="I1520" s="1100">
        <v>1.0149904148262892</v>
      </c>
      <c r="K1520">
        <v>1.3222390980706196</v>
      </c>
      <c r="L1520">
        <v>0</v>
      </c>
      <c r="M1520">
        <v>6.2258524365501125E-4</v>
      </c>
      <c r="N1520">
        <v>5.7464557409829121E-2</v>
      </c>
      <c r="O1520">
        <v>7.819558542848588E-3</v>
      </c>
      <c r="P1520">
        <v>1.6290359420425966E-2</v>
      </c>
      <c r="Q1520">
        <v>4.5328618730762558E-4</v>
      </c>
      <c r="R1520">
        <v>6.2080313376841319E-4</v>
      </c>
      <c r="S1520">
        <v>6.281833776974885E-2</v>
      </c>
      <c r="T1520">
        <v>1.0330640365089434</v>
      </c>
      <c r="U1520">
        <v>0</v>
      </c>
      <c r="V1520">
        <v>9.735193154905035E-2</v>
      </c>
      <c r="W1520">
        <v>3.772309140742016E-2</v>
      </c>
      <c r="X1520">
        <v>7.5660999025113978E-3</v>
      </c>
      <c r="Y1520">
        <v>1.6896214824195744E-3</v>
      </c>
    </row>
    <row r="1521" spans="1:25" x14ac:dyDescent="0.25">
      <c r="A1521" s="1096"/>
      <c r="B1521" s="1455">
        <v>1271</v>
      </c>
      <c r="C1521" s="1100">
        <v>0.96055159522304179</v>
      </c>
      <c r="D1521" s="1100">
        <v>1.0283165654468032</v>
      </c>
      <c r="E1521" s="1100">
        <v>1.0306435945555628</v>
      </c>
      <c r="F1521" s="1100">
        <v>1.0358450946142403</v>
      </c>
      <c r="G1521" s="1100">
        <v>1.0077957495022378</v>
      </c>
      <c r="H1521" s="1100">
        <v>1.0169595379106524</v>
      </c>
      <c r="I1521" s="1100">
        <v>0.96215390135965229</v>
      </c>
      <c r="K1521">
        <v>1.3613331588900048</v>
      </c>
      <c r="L1521">
        <v>0</v>
      </c>
      <c r="M1521">
        <v>5.9040682690755049E-4</v>
      </c>
      <c r="N1521">
        <v>5.9553166896060571E-2</v>
      </c>
      <c r="O1521">
        <v>7.998726343910469E-3</v>
      </c>
      <c r="P1521">
        <v>1.713066082299081E-2</v>
      </c>
      <c r="Q1521">
        <v>4.7746997018076592E-4</v>
      </c>
      <c r="R1521">
        <v>5.8869369219497251E-4</v>
      </c>
      <c r="S1521">
        <v>6.0313089721113947E-2</v>
      </c>
      <c r="T1521">
        <v>1.068454155509089</v>
      </c>
      <c r="U1521">
        <v>0</v>
      </c>
      <c r="V1521">
        <v>9.9149211251161537E-2</v>
      </c>
      <c r="W1521">
        <v>3.842468001240068E-2</v>
      </c>
      <c r="X1521">
        <v>8.2314813304775053E-3</v>
      </c>
      <c r="Y1521">
        <v>1.6022301673312392E-3</v>
      </c>
    </row>
    <row r="1522" spans="1:25" x14ac:dyDescent="0.25">
      <c r="A1522" s="1096"/>
      <c r="B1522" s="1455">
        <v>1272</v>
      </c>
      <c r="C1522" s="1100">
        <v>0.97565046205837935</v>
      </c>
      <c r="D1522" s="1100">
        <v>1.026661480547618</v>
      </c>
      <c r="E1522" s="1100">
        <v>1.0053700172237348</v>
      </c>
      <c r="F1522" s="1100">
        <v>1.0267290669118552</v>
      </c>
      <c r="G1522" s="1100">
        <v>1.0298420721145001</v>
      </c>
      <c r="H1522" s="1100">
        <v>1.003209210834886</v>
      </c>
      <c r="I1522" s="1100">
        <v>1.0028227372871519</v>
      </c>
      <c r="K1522">
        <v>1.3490749907041926</v>
      </c>
      <c r="L1522">
        <v>0</v>
      </c>
      <c r="M1522">
        <v>6.0475045715684096E-4</v>
      </c>
      <c r="N1522">
        <v>5.6519039814405488E-2</v>
      </c>
      <c r="O1522">
        <v>7.8737065693393511E-3</v>
      </c>
      <c r="P1522">
        <v>1.6722216520823049E-2</v>
      </c>
      <c r="Q1522">
        <v>4.583322711222247E-4</v>
      </c>
      <c r="R1522">
        <v>6.0297165145547236E-4</v>
      </c>
      <c r="S1522">
        <v>6.1490511216654643E-2</v>
      </c>
      <c r="T1522">
        <v>1.0598096486088613</v>
      </c>
      <c r="U1522">
        <v>0</v>
      </c>
      <c r="V1522">
        <v>9.9787578372539945E-2</v>
      </c>
      <c r="W1522">
        <v>3.7011102823316856E-2</v>
      </c>
      <c r="X1522">
        <v>7.7635432471197018E-3</v>
      </c>
      <c r="Y1522">
        <v>1.6410900657103139E-3</v>
      </c>
    </row>
    <row r="1523" spans="1:25" x14ac:dyDescent="0.25">
      <c r="A1523" s="1096"/>
      <c r="B1523" s="1455">
        <v>1273</v>
      </c>
      <c r="C1523" s="1100">
        <v>0.97199911009357254</v>
      </c>
      <c r="D1523" s="1100">
        <v>1.0120726638623214</v>
      </c>
      <c r="E1523" s="1100">
        <v>0.99006581705359797</v>
      </c>
      <c r="F1523" s="1100">
        <v>0.99983052228425695</v>
      </c>
      <c r="G1523" s="1100">
        <v>1.0127013423859657</v>
      </c>
      <c r="H1523" s="1100">
        <v>0.97214956397819963</v>
      </c>
      <c r="I1523" s="1100">
        <v>1.0053361113987014</v>
      </c>
      <c r="K1523">
        <v>1.3170075676334607</v>
      </c>
      <c r="L1523">
        <v>0</v>
      </c>
      <c r="M1523">
        <v>6.1068101566980916E-4</v>
      </c>
      <c r="N1523">
        <v>5.448890584517662E-2</v>
      </c>
      <c r="O1523">
        <v>7.9448134448878906E-3</v>
      </c>
      <c r="P1523">
        <v>1.6150352198084066E-2</v>
      </c>
      <c r="Q1523">
        <v>4.5540257862804423E-4</v>
      </c>
      <c r="R1523">
        <v>6.0882737669730284E-4</v>
      </c>
      <c r="S1523">
        <v>6.1360826254421443E-2</v>
      </c>
      <c r="T1523">
        <v>1.0325009452164262</v>
      </c>
      <c r="U1523">
        <v>0</v>
      </c>
      <c r="V1523">
        <v>9.9036463492426743E-2</v>
      </c>
      <c r="W1523">
        <v>3.6008317290712799E-2</v>
      </c>
      <c r="X1523">
        <v>7.406367532189255E-3</v>
      </c>
      <c r="Y1523">
        <v>1.6570274194792694E-3</v>
      </c>
    </row>
    <row r="1524" spans="1:25" x14ac:dyDescent="0.25">
      <c r="A1524" s="1096"/>
      <c r="B1524" s="1455">
        <v>1274</v>
      </c>
      <c r="C1524" s="1100">
        <v>0.98087739145880015</v>
      </c>
      <c r="D1524" s="1100">
        <v>0.97636973771126978</v>
      </c>
      <c r="E1524" s="1100">
        <v>1.0042047565111414</v>
      </c>
      <c r="F1524" s="1100">
        <v>0.99549410738496014</v>
      </c>
      <c r="G1524" s="1100">
        <v>1.0314611522222146</v>
      </c>
      <c r="H1524" s="1100">
        <v>0.9940200414499758</v>
      </c>
      <c r="I1524" s="1100">
        <v>1.0134552618655968</v>
      </c>
      <c r="K1524">
        <v>1.3185290845881423</v>
      </c>
      <c r="L1524">
        <v>0</v>
      </c>
      <c r="M1524">
        <v>6.0958610983031061E-4</v>
      </c>
      <c r="N1524">
        <v>5.6769280547834713E-2</v>
      </c>
      <c r="O1524">
        <v>7.9903890402051054E-3</v>
      </c>
      <c r="P1524">
        <v>1.62897643373551E-2</v>
      </c>
      <c r="Q1524">
        <v>4.6458137386590274E-4</v>
      </c>
      <c r="R1524">
        <v>6.0777650502793806E-4</v>
      </c>
      <c r="S1524">
        <v>6.3204324179330251E-2</v>
      </c>
      <c r="T1524">
        <v>1.0276026802616074</v>
      </c>
      <c r="U1524">
        <v>0</v>
      </c>
      <c r="V1524">
        <v>9.9729212015723115E-2</v>
      </c>
      <c r="W1524">
        <v>3.7200629174804739E-2</v>
      </c>
      <c r="X1524">
        <v>7.6258659690020651E-3</v>
      </c>
      <c r="Y1524">
        <v>1.6541672932150113E-3</v>
      </c>
    </row>
    <row r="1525" spans="1:25" x14ac:dyDescent="0.25">
      <c r="A1525" s="1096"/>
      <c r="B1525" s="1455">
        <v>1275</v>
      </c>
      <c r="C1525" s="1100">
        <v>0.97786780537660689</v>
      </c>
      <c r="D1525" s="1100">
        <v>1.012185461414213</v>
      </c>
      <c r="E1525" s="1100">
        <v>0.95572932919182374</v>
      </c>
      <c r="F1525" s="1100">
        <v>1.0020145469190429</v>
      </c>
      <c r="G1525" s="1100">
        <v>0.99695391444586956</v>
      </c>
      <c r="H1525" s="1100">
        <v>0.96753834909962777</v>
      </c>
      <c r="I1525" s="1100">
        <v>1.0202368764254837</v>
      </c>
      <c r="K1525">
        <v>1.3157028588121233</v>
      </c>
      <c r="L1525">
        <v>0</v>
      </c>
      <c r="M1525">
        <v>6.4850833951786099E-4</v>
      </c>
      <c r="N1525">
        <v>5.2150711025996742E-2</v>
      </c>
      <c r="O1525">
        <v>7.8882404441053856E-3</v>
      </c>
      <c r="P1525">
        <v>1.5767507099213002E-2</v>
      </c>
      <c r="Q1525">
        <v>4.365910529511051E-4</v>
      </c>
      <c r="R1525">
        <v>6.4653049933493221E-4</v>
      </c>
      <c r="S1525">
        <v>6.1712653857558676E-2</v>
      </c>
      <c r="T1525">
        <v>1.0358083283306343</v>
      </c>
      <c r="U1525">
        <v>0</v>
      </c>
      <c r="V1525">
        <v>9.8083542236488894E-2</v>
      </c>
      <c r="W1525">
        <v>3.5189289257937496E-2</v>
      </c>
      <c r="X1525">
        <v>6.9083304569509986E-3</v>
      </c>
      <c r="Y1525">
        <v>1.7596428904678588E-3</v>
      </c>
    </row>
    <row r="1526" spans="1:25" x14ac:dyDescent="0.25">
      <c r="A1526" s="1096"/>
      <c r="B1526" s="1455">
        <v>1276</v>
      </c>
      <c r="C1526" s="1100">
        <v>0.97284296736489873</v>
      </c>
      <c r="D1526" s="1100">
        <v>0.9949785819540462</v>
      </c>
      <c r="E1526" s="1100">
        <v>0.99615637412935421</v>
      </c>
      <c r="F1526" s="1100">
        <v>0.97357721998579005</v>
      </c>
      <c r="G1526" s="1100">
        <v>1.0265749416248313</v>
      </c>
      <c r="H1526" s="1100">
        <v>0.99250303216555025</v>
      </c>
      <c r="I1526" s="1100">
        <v>0.97782478433519104</v>
      </c>
      <c r="K1526">
        <v>1.2924439019836558</v>
      </c>
      <c r="L1526">
        <v>0</v>
      </c>
      <c r="M1526">
        <v>6.1931933621223374E-4</v>
      </c>
      <c r="N1526">
        <v>5.628995105155786E-2</v>
      </c>
      <c r="O1526">
        <v>7.9937321464175846E-3</v>
      </c>
      <c r="P1526">
        <v>1.5854682302723445E-2</v>
      </c>
      <c r="Q1526">
        <v>4.6103122050363362E-4</v>
      </c>
      <c r="R1526">
        <v>6.1747802746731919E-4</v>
      </c>
      <c r="S1526">
        <v>6.0810881578343891E-2</v>
      </c>
      <c r="T1526">
        <v>1.0052120766334762</v>
      </c>
      <c r="U1526">
        <v>0</v>
      </c>
      <c r="V1526">
        <v>9.9692364856568322E-2</v>
      </c>
      <c r="W1526">
        <v>3.7063372071482886E-2</v>
      </c>
      <c r="X1526">
        <v>7.3870797921375313E-3</v>
      </c>
      <c r="Y1526">
        <v>1.6805716391889939E-3</v>
      </c>
    </row>
    <row r="1527" spans="1:25" x14ac:dyDescent="0.25">
      <c r="A1527" s="1096"/>
      <c r="B1527" s="1455">
        <v>1277</v>
      </c>
      <c r="C1527" s="1100">
        <v>1.0316579858690693</v>
      </c>
      <c r="D1527" s="1100">
        <v>1.0005712226332899</v>
      </c>
      <c r="E1527" s="1100">
        <v>0.98034815783423368</v>
      </c>
      <c r="F1527" s="1100">
        <v>0.99736339678736152</v>
      </c>
      <c r="G1527" s="1100">
        <v>1.0337008364128197</v>
      </c>
      <c r="H1527" s="1100">
        <v>0.9703373093303016</v>
      </c>
      <c r="I1527" s="1100">
        <v>0.98092344737740866</v>
      </c>
      <c r="K1527">
        <v>1.3030197202638394</v>
      </c>
      <c r="L1527">
        <v>0</v>
      </c>
      <c r="M1527">
        <v>5.8864521055659218E-4</v>
      </c>
      <c r="N1527">
        <v>5.1001204197701169E-2</v>
      </c>
      <c r="O1527">
        <v>7.5173727427140782E-3</v>
      </c>
      <c r="P1527">
        <v>1.5932771546790837E-2</v>
      </c>
      <c r="Q1527">
        <v>4.266784710426966E-4</v>
      </c>
      <c r="R1527">
        <v>5.8685512123089832E-4</v>
      </c>
      <c r="S1527">
        <v>5.6695103617301824E-2</v>
      </c>
      <c r="T1527">
        <v>1.0302459701162565</v>
      </c>
      <c r="U1527">
        <v>0</v>
      </c>
      <c r="V1527">
        <v>9.856732591883538E-2</v>
      </c>
      <c r="W1527">
        <v>3.3901039768784322E-2</v>
      </c>
      <c r="X1527">
        <v>7.1368177904869426E-3</v>
      </c>
      <c r="Y1527">
        <v>1.5972261832517842E-3</v>
      </c>
    </row>
    <row r="1528" spans="1:25" x14ac:dyDescent="0.25">
      <c r="A1528" s="1096"/>
      <c r="B1528" s="1455">
        <v>1278</v>
      </c>
      <c r="C1528" s="1100">
        <v>0.98534226501996125</v>
      </c>
      <c r="D1528" s="1100">
        <v>0.99764352827461522</v>
      </c>
      <c r="E1528" s="1100">
        <v>1.0039179708790833</v>
      </c>
      <c r="F1528" s="1100">
        <v>1.0081901004151248</v>
      </c>
      <c r="G1528" s="1100">
        <v>1.0284035685840158</v>
      </c>
      <c r="H1528" s="1100">
        <v>0.98371575664331012</v>
      </c>
      <c r="I1528" s="1100">
        <v>0.97979840647864214</v>
      </c>
      <c r="K1528">
        <v>1.3257668189285416</v>
      </c>
      <c r="L1528">
        <v>0</v>
      </c>
      <c r="M1528">
        <v>5.9573243554110597E-4</v>
      </c>
      <c r="N1528">
        <v>5.5429358316655089E-2</v>
      </c>
      <c r="O1528">
        <v>7.8858255432230264E-3</v>
      </c>
      <c r="P1528">
        <v>1.6415688291367584E-2</v>
      </c>
      <c r="Q1528">
        <v>4.5836993121869002E-4</v>
      </c>
      <c r="R1528">
        <v>5.9394543190099752E-4</v>
      </c>
      <c r="S1528">
        <v>5.9814757248243533E-2</v>
      </c>
      <c r="T1528">
        <v>1.0407167397937653</v>
      </c>
      <c r="U1528">
        <v>0</v>
      </c>
      <c r="V1528">
        <v>9.9466471094277198E-2</v>
      </c>
      <c r="W1528">
        <v>3.6328756639696189E-2</v>
      </c>
      <c r="X1528">
        <v>7.6361154021607983E-3</v>
      </c>
      <c r="Y1528">
        <v>1.6165236715755102E-3</v>
      </c>
    </row>
    <row r="1529" spans="1:25" x14ac:dyDescent="0.25">
      <c r="A1529" s="1096"/>
      <c r="B1529" s="1455">
        <v>1279</v>
      </c>
      <c r="C1529" s="1100">
        <v>0.98432847829066905</v>
      </c>
      <c r="D1529" s="1100">
        <v>1.0369648972442773</v>
      </c>
      <c r="E1529" s="1100">
        <v>1.0226170187825379</v>
      </c>
      <c r="F1529" s="1100">
        <v>0.98119345744665976</v>
      </c>
      <c r="G1529" s="1100">
        <v>1.0221996533471385</v>
      </c>
      <c r="H1529" s="1100">
        <v>0.97338014300843367</v>
      </c>
      <c r="I1529" s="1100">
        <v>1.0169065999235856</v>
      </c>
      <c r="K1529">
        <v>1.296527896399386</v>
      </c>
      <c r="L1529">
        <v>0</v>
      </c>
      <c r="M1529">
        <v>5.5887686426163994E-4</v>
      </c>
      <c r="N1529">
        <v>5.5017638732942888E-2</v>
      </c>
      <c r="O1529">
        <v>7.777428061746354E-3</v>
      </c>
      <c r="P1529">
        <v>1.6256502663859931E-2</v>
      </c>
      <c r="Q1529">
        <v>4.6058347361618553E-4</v>
      </c>
      <c r="R1529">
        <v>5.5718261436605969E-4</v>
      </c>
      <c r="S1529">
        <v>6.0564314857540193E-2</v>
      </c>
      <c r="T1529">
        <v>1.0123102450997843</v>
      </c>
      <c r="U1529">
        <v>0</v>
      </c>
      <c r="V1529">
        <v>9.9213473760856069E-2</v>
      </c>
      <c r="W1529">
        <v>3.5664503929159964E-2</v>
      </c>
      <c r="X1529">
        <v>7.7484326686697337E-3</v>
      </c>
      <c r="Y1529">
        <v>1.5164674011049525E-3</v>
      </c>
    </row>
    <row r="1530" spans="1:25" x14ac:dyDescent="0.25">
      <c r="A1530" s="1096"/>
      <c r="B1530" s="1455">
        <v>1280</v>
      </c>
      <c r="C1530" s="1100">
        <v>1.0061544480916871</v>
      </c>
      <c r="D1530" s="1100">
        <v>1.0066905261042582</v>
      </c>
      <c r="E1530" s="1100">
        <v>0.98604640832999257</v>
      </c>
      <c r="F1530" s="1100">
        <v>0.98495177030824399</v>
      </c>
      <c r="G1530" s="1100">
        <v>1.0235912277641264</v>
      </c>
      <c r="H1530" s="1100">
        <v>1.020741952111557</v>
      </c>
      <c r="I1530" s="1100">
        <v>1.0073587558795736</v>
      </c>
      <c r="K1530">
        <v>1.3016754064382896</v>
      </c>
      <c r="L1530">
        <v>0</v>
      </c>
      <c r="M1530">
        <v>6.259490133697427E-4</v>
      </c>
      <c r="N1530">
        <v>5.5184496320142051E-2</v>
      </c>
      <c r="O1530">
        <v>7.6905266840126985E-3</v>
      </c>
      <c r="P1530">
        <v>1.5886807608763723E-2</v>
      </c>
      <c r="Q1530">
        <v>4.3903744280719795E-4</v>
      </c>
      <c r="R1530">
        <v>6.2413947909699136E-4</v>
      </c>
      <c r="S1530">
        <v>6.1045156035670387E-2</v>
      </c>
      <c r="T1530">
        <v>1.0172552649065489</v>
      </c>
      <c r="U1530">
        <v>0</v>
      </c>
      <c r="V1530">
        <v>9.8693376779979691E-2</v>
      </c>
      <c r="W1530">
        <v>3.6556041150680632E-2</v>
      </c>
      <c r="X1530">
        <v>7.2278071293782331E-3</v>
      </c>
      <c r="Y1530">
        <v>1.698701914578022E-3</v>
      </c>
    </row>
    <row r="1531" spans="1:25" x14ac:dyDescent="0.25">
      <c r="A1531" s="1096"/>
      <c r="B1531" s="1455">
        <v>1281</v>
      </c>
      <c r="C1531" s="1100">
        <v>0.99184845375572883</v>
      </c>
      <c r="D1531" s="1100">
        <v>0.95692051922348764</v>
      </c>
      <c r="E1531" s="1100">
        <v>0.96927361592182204</v>
      </c>
      <c r="F1531" s="1100">
        <v>0.96994567060058645</v>
      </c>
      <c r="G1531" s="1100">
        <v>1.0284457736368053</v>
      </c>
      <c r="H1531" s="1100">
        <v>1.0037780769926214</v>
      </c>
      <c r="I1531" s="1100">
        <v>0.99561923584065415</v>
      </c>
      <c r="K1531">
        <v>1.2888047726402161</v>
      </c>
      <c r="L1531">
        <v>0</v>
      </c>
      <c r="M1531">
        <v>6.5969750070961179E-4</v>
      </c>
      <c r="N1531">
        <v>5.5278719644301554E-2</v>
      </c>
      <c r="O1531">
        <v>7.9570806195337195E-3</v>
      </c>
      <c r="P1531">
        <v>1.5510226523205082E-2</v>
      </c>
      <c r="Q1531">
        <v>4.4656611597614039E-4</v>
      </c>
      <c r="R1531">
        <v>6.5775817412513211E-4</v>
      </c>
      <c r="S1531">
        <v>6.2342545883239536E-2</v>
      </c>
      <c r="T1531">
        <v>1.0022521148612669</v>
      </c>
      <c r="U1531">
        <v>0</v>
      </c>
      <c r="V1531">
        <v>9.9264645195486806E-2</v>
      </c>
      <c r="W1531">
        <v>3.6991905875265879E-2</v>
      </c>
      <c r="X1531">
        <v>6.9727063284795885E-3</v>
      </c>
      <c r="Y1531">
        <v>1.7902009200447832E-3</v>
      </c>
    </row>
    <row r="1532" spans="1:25" x14ac:dyDescent="0.25">
      <c r="A1532" s="1096"/>
      <c r="B1532" s="1455">
        <v>1282</v>
      </c>
      <c r="C1532" s="1100">
        <v>1.0019878442637364</v>
      </c>
      <c r="D1532" s="1100">
        <v>0.95424776198371097</v>
      </c>
      <c r="E1532" s="1100">
        <v>1.0082796798794997</v>
      </c>
      <c r="F1532" s="1100">
        <v>0.98887447528046712</v>
      </c>
      <c r="G1532" s="1100">
        <v>1.0216974828347993</v>
      </c>
      <c r="H1532" s="1100">
        <v>0.99286452191184726</v>
      </c>
      <c r="I1532" s="1100">
        <v>0.96724352231826649</v>
      </c>
      <c r="K1532">
        <v>1.3058942864576573</v>
      </c>
      <c r="L1532">
        <v>0</v>
      </c>
      <c r="M1532">
        <v>5.9647050535531335E-4</v>
      </c>
      <c r="N1532">
        <v>5.6235432730509557E-2</v>
      </c>
      <c r="O1532">
        <v>7.8950970325196278E-3</v>
      </c>
      <c r="P1532">
        <v>1.6182555319396476E-2</v>
      </c>
      <c r="Q1532">
        <v>4.6091845128621895E-4</v>
      </c>
      <c r="R1532">
        <v>5.9469777451863287E-4</v>
      </c>
      <c r="S1532">
        <v>5.9752949477892392E-2</v>
      </c>
      <c r="T1532">
        <v>1.0206503469284258</v>
      </c>
      <c r="U1532">
        <v>0</v>
      </c>
      <c r="V1532">
        <v>9.872909126714996E-2</v>
      </c>
      <c r="W1532">
        <v>3.6762097327651753E-2</v>
      </c>
      <c r="X1532">
        <v>7.6089993534920767E-3</v>
      </c>
      <c r="Y1532">
        <v>1.6185713001710361E-3</v>
      </c>
    </row>
    <row r="1533" spans="1:25" x14ac:dyDescent="0.25">
      <c r="A1533" s="1096"/>
      <c r="B1533" s="1455">
        <v>1283</v>
      </c>
      <c r="C1533" s="1100">
        <v>1.0095642792217316</v>
      </c>
      <c r="D1533" s="1100">
        <v>0.99305526431563984</v>
      </c>
      <c r="E1533" s="1100">
        <v>1.0116727568855457</v>
      </c>
      <c r="F1533" s="1100">
        <v>0.98806586758792836</v>
      </c>
      <c r="G1533" s="1100">
        <v>0.99699311060991158</v>
      </c>
      <c r="H1533" s="1100">
        <v>0.9802897205541945</v>
      </c>
      <c r="I1533" s="1100">
        <v>0.99764501592073851</v>
      </c>
      <c r="K1533">
        <v>1.2999601144910857</v>
      </c>
      <c r="L1533">
        <v>0</v>
      </c>
      <c r="M1533">
        <v>5.7120974823605258E-4</v>
      </c>
      <c r="N1533">
        <v>5.440625825852171E-2</v>
      </c>
      <c r="O1533">
        <v>7.7127224325816987E-3</v>
      </c>
      <c r="P1533">
        <v>1.6187851666227535E-2</v>
      </c>
      <c r="Q1533">
        <v>4.51801227096221E-4</v>
      </c>
      <c r="R1533">
        <v>5.6949031633426301E-4</v>
      </c>
      <c r="S1533">
        <v>5.9494277044058762E-2</v>
      </c>
      <c r="T1533">
        <v>1.0197169611069403</v>
      </c>
      <c r="U1533">
        <v>0</v>
      </c>
      <c r="V1533">
        <v>9.7352047504247835E-2</v>
      </c>
      <c r="W1533">
        <v>3.5495241692536837E-2</v>
      </c>
      <c r="X1533">
        <v>7.5947080821474298E-3</v>
      </c>
      <c r="Y1533">
        <v>1.5499649086295386E-3</v>
      </c>
    </row>
    <row r="1534" spans="1:25" x14ac:dyDescent="0.25">
      <c r="A1534" s="1096"/>
      <c r="B1534" s="1455">
        <v>1284</v>
      </c>
      <c r="C1534" s="1100">
        <v>0.99268514848487299</v>
      </c>
      <c r="D1534" s="1100">
        <v>1.0015149447738014</v>
      </c>
      <c r="E1534" s="1100">
        <v>0.98828041261775634</v>
      </c>
      <c r="F1534" s="1100">
        <v>0.98385405550287253</v>
      </c>
      <c r="G1534" s="1100">
        <v>1.0074434525022837</v>
      </c>
      <c r="H1534" s="1100">
        <v>0.95335123573145697</v>
      </c>
      <c r="I1534" s="1100">
        <v>0.98940122009688725</v>
      </c>
      <c r="K1534">
        <v>1.2933171916451323</v>
      </c>
      <c r="L1534">
        <v>0</v>
      </c>
      <c r="M1534">
        <v>5.9103880019092546E-4</v>
      </c>
      <c r="N1534">
        <v>5.2449227780773398E-2</v>
      </c>
      <c r="O1534">
        <v>7.8115148465937173E-3</v>
      </c>
      <c r="P1534">
        <v>1.5862242459491013E-2</v>
      </c>
      <c r="Q1534">
        <v>4.4695412057884493E-4</v>
      </c>
      <c r="R1534">
        <v>5.8920940776508856E-4</v>
      </c>
      <c r="S1534">
        <v>5.8891065883725946E-2</v>
      </c>
      <c r="T1534">
        <v>1.0160552843169741</v>
      </c>
      <c r="U1534">
        <v>0</v>
      </c>
      <c r="V1534">
        <v>9.8248897126787901E-2</v>
      </c>
      <c r="W1534">
        <v>3.469753707676386E-2</v>
      </c>
      <c r="X1534">
        <v>7.2526636507596089E-3</v>
      </c>
      <c r="Y1534">
        <v>1.6036337751075028E-3</v>
      </c>
    </row>
    <row r="1535" spans="1:25" x14ac:dyDescent="0.25">
      <c r="A1535" s="1096"/>
      <c r="B1535" s="1455">
        <v>1285</v>
      </c>
      <c r="C1535" s="1100">
        <v>0.97708651657138634</v>
      </c>
      <c r="D1535" s="1100">
        <v>0.95082166430494941</v>
      </c>
      <c r="E1535" s="1100">
        <v>0.99071476668940106</v>
      </c>
      <c r="F1535" s="1100">
        <v>0.98142427604914484</v>
      </c>
      <c r="G1535" s="1100">
        <v>1.015051515366769</v>
      </c>
      <c r="H1535" s="1100">
        <v>1.031757595471511</v>
      </c>
      <c r="I1535" s="1100">
        <v>0.99311553208389769</v>
      </c>
      <c r="K1535">
        <v>1.3084589683983725</v>
      </c>
      <c r="L1535">
        <v>0</v>
      </c>
      <c r="M1535">
        <v>6.6016602570925374E-4</v>
      </c>
      <c r="N1535">
        <v>5.9030343319957067E-2</v>
      </c>
      <c r="O1535">
        <v>8.1034602048716611E-3</v>
      </c>
      <c r="P1535">
        <v>1.5939447280421029E-2</v>
      </c>
      <c r="Q1535">
        <v>4.6480104190794991E-4</v>
      </c>
      <c r="R1535">
        <v>6.5827795039522549E-4</v>
      </c>
      <c r="S1535">
        <v>6.425035797380195E-2</v>
      </c>
      <c r="T1535">
        <v>1.0134741173364443</v>
      </c>
      <c r="U1535">
        <v>0</v>
      </c>
      <c r="V1535">
        <v>9.9018147234020693E-2</v>
      </c>
      <c r="W1535">
        <v>3.8994312185785418E-2</v>
      </c>
      <c r="X1535">
        <v>7.3942543167679429E-3</v>
      </c>
      <c r="Y1535">
        <v>1.791615579707776E-3</v>
      </c>
    </row>
    <row r="1536" spans="1:25" x14ac:dyDescent="0.25">
      <c r="A1536" s="1096"/>
      <c r="B1536" s="1455">
        <v>1286</v>
      </c>
      <c r="C1536" s="1100">
        <v>0.985319842486856</v>
      </c>
      <c r="D1536" s="1100">
        <v>1.0016361480303484</v>
      </c>
      <c r="E1536" s="1100">
        <v>1.0169205731003135</v>
      </c>
      <c r="F1536" s="1100">
        <v>0.99907098185671706</v>
      </c>
      <c r="G1536" s="1100">
        <v>1.0059544752990368</v>
      </c>
      <c r="H1536" s="1100">
        <v>1.0194782870021646</v>
      </c>
      <c r="I1536" s="1100">
        <v>0.99076259348337492</v>
      </c>
      <c r="K1536">
        <v>1.3208348696689973</v>
      </c>
      <c r="L1536">
        <v>0</v>
      </c>
      <c r="M1536">
        <v>5.9998904565774895E-4</v>
      </c>
      <c r="N1536">
        <v>5.806646565598813E-2</v>
      </c>
      <c r="O1536">
        <v>7.8766586333179189E-3</v>
      </c>
      <c r="P1536">
        <v>1.6446951016636482E-2</v>
      </c>
      <c r="Q1536">
        <v>4.6382548782829383E-4</v>
      </c>
      <c r="R1536">
        <v>5.9825240822014526E-4</v>
      </c>
      <c r="S1536">
        <v>6.1466073313770068E-2</v>
      </c>
      <c r="T1536">
        <v>1.0309207784810281</v>
      </c>
      <c r="U1536">
        <v>0</v>
      </c>
      <c r="V1536">
        <v>9.8395670881734773E-2</v>
      </c>
      <c r="W1536">
        <v>3.7766547154709909E-2</v>
      </c>
      <c r="X1536">
        <v>7.8053898400992708E-3</v>
      </c>
      <c r="Y1536">
        <v>1.6282458413218685E-3</v>
      </c>
    </row>
    <row r="1537" spans="1:25" x14ac:dyDescent="0.25">
      <c r="A1537" s="1096"/>
      <c r="B1537" s="1455">
        <v>1287</v>
      </c>
      <c r="C1537" s="1100">
        <v>0.97281498093798924</v>
      </c>
      <c r="D1537" s="1100">
        <v>0.98887726997952929</v>
      </c>
      <c r="E1537" s="1100">
        <v>1.0035832615785432</v>
      </c>
      <c r="F1537" s="1100">
        <v>1.0038391109184097</v>
      </c>
      <c r="G1537" s="1100">
        <v>0.96970215565714502</v>
      </c>
      <c r="H1537" s="1100">
        <v>1.0122231545276379</v>
      </c>
      <c r="I1537" s="1100">
        <v>1.0331134644557869</v>
      </c>
      <c r="K1537">
        <v>1.3284830621348547</v>
      </c>
      <c r="L1537">
        <v>0</v>
      </c>
      <c r="M1537">
        <v>6.2351893614462947E-4</v>
      </c>
      <c r="N1537">
        <v>5.7961017364858529E-2</v>
      </c>
      <c r="O1537">
        <v>8.0155370441790854E-3</v>
      </c>
      <c r="P1537">
        <v>1.6388399419809178E-2</v>
      </c>
      <c r="Q1537">
        <v>4.6575311542222404E-4</v>
      </c>
      <c r="R1537">
        <v>6.2170125710902223E-4</v>
      </c>
      <c r="S1537">
        <v>6.5113852338031381E-2</v>
      </c>
      <c r="T1537">
        <v>1.0362353402730433</v>
      </c>
      <c r="U1537">
        <v>0</v>
      </c>
      <c r="V1537">
        <v>9.6950137896397795E-2</v>
      </c>
      <c r="W1537">
        <v>3.7995557681434908E-2</v>
      </c>
      <c r="X1537">
        <v>7.6672188026265528E-3</v>
      </c>
      <c r="Y1537">
        <v>1.6920658780864328E-3</v>
      </c>
    </row>
    <row r="1538" spans="1:25" x14ac:dyDescent="0.25">
      <c r="A1538" s="1096"/>
      <c r="B1538" s="1455">
        <v>1288</v>
      </c>
      <c r="C1538" s="1100">
        <v>0.98207735202370605</v>
      </c>
      <c r="D1538" s="1100">
        <v>1.0271279685655934</v>
      </c>
      <c r="E1538" s="1100">
        <v>1.0293850172575048</v>
      </c>
      <c r="F1538" s="1100">
        <v>1.0289213967921398</v>
      </c>
      <c r="G1538" s="1100">
        <v>0.99648990606080079</v>
      </c>
      <c r="H1538" s="1100">
        <v>1.0134205628989603</v>
      </c>
      <c r="I1538" s="1100">
        <v>1.0432587400323869</v>
      </c>
      <c r="K1538">
        <v>1.3537747995407314</v>
      </c>
      <c r="L1538">
        <v>0</v>
      </c>
      <c r="M1538">
        <v>5.7723453165833827E-4</v>
      </c>
      <c r="N1538">
        <v>5.8003424876022294E-2</v>
      </c>
      <c r="O1538">
        <v>7.826712901198114E-3</v>
      </c>
      <c r="P1538">
        <v>1.705031083960527E-2</v>
      </c>
      <c r="Q1538">
        <v>4.6662093285657899E-4</v>
      </c>
      <c r="R1538">
        <v>5.7555376892534974E-4</v>
      </c>
      <c r="S1538">
        <v>6.3888385417323168E-2</v>
      </c>
      <c r="T1538">
        <v>1.0613498875989085</v>
      </c>
      <c r="U1538">
        <v>0</v>
      </c>
      <c r="V1538">
        <v>9.803493338617135E-2</v>
      </c>
      <c r="W1538">
        <v>3.7452112265747801E-2</v>
      </c>
      <c r="X1538">
        <v>8.1376244578639095E-3</v>
      </c>
      <c r="Y1538">
        <v>1.5664676277658673E-3</v>
      </c>
    </row>
    <row r="1539" spans="1:25" x14ac:dyDescent="0.25">
      <c r="A1539" s="1096"/>
      <c r="B1539" s="1455">
        <v>1289</v>
      </c>
      <c r="C1539" s="1100">
        <v>1.0125219726681707</v>
      </c>
      <c r="D1539" s="1100">
        <v>1.0349668799430414</v>
      </c>
      <c r="E1539" s="1100">
        <v>0.9738587501445235</v>
      </c>
      <c r="F1539" s="1100">
        <v>1.0034266386971651</v>
      </c>
      <c r="G1539" s="1100">
        <v>1.0093768715803546</v>
      </c>
      <c r="H1539" s="1100">
        <v>1.0247142777630589</v>
      </c>
      <c r="I1539" s="1100">
        <v>0.97592707640704268</v>
      </c>
      <c r="K1539">
        <v>1.3150167061816642</v>
      </c>
      <c r="L1539">
        <v>0</v>
      </c>
      <c r="M1539">
        <v>6.3331321141671328E-4</v>
      </c>
      <c r="N1539">
        <v>5.3812922415609421E-2</v>
      </c>
      <c r="O1539">
        <v>7.5550462881735277E-3</v>
      </c>
      <c r="P1539">
        <v>1.5948431475318693E-2</v>
      </c>
      <c r="Q1539">
        <v>4.2599315595067989E-4</v>
      </c>
      <c r="R1539">
        <v>6.3148948546260485E-4</v>
      </c>
      <c r="S1539">
        <v>5.8008952126314413E-2</v>
      </c>
      <c r="T1539">
        <v>1.0367073910972273</v>
      </c>
      <c r="U1539">
        <v>0</v>
      </c>
      <c r="V1539">
        <v>9.783746359609008E-2</v>
      </c>
      <c r="W1539">
        <v>3.5910780540829558E-2</v>
      </c>
      <c r="X1539">
        <v>7.0928430031279265E-3</v>
      </c>
      <c r="Y1539">
        <v>1.7187062089762746E-3</v>
      </c>
    </row>
    <row r="1540" spans="1:25" x14ac:dyDescent="0.25">
      <c r="A1540" s="1096"/>
      <c r="B1540" s="1455">
        <v>1290</v>
      </c>
      <c r="C1540" s="1100">
        <v>0.98909507161008225</v>
      </c>
      <c r="D1540" s="1100">
        <v>0.99321126676925786</v>
      </c>
      <c r="E1540" s="1100">
        <v>1.0056231815711894</v>
      </c>
      <c r="F1540" s="1100">
        <v>1.0132678632726821</v>
      </c>
      <c r="G1540" s="1100">
        <v>0.99763392244069649</v>
      </c>
      <c r="H1540" s="1100">
        <v>0.98350019756081652</v>
      </c>
      <c r="I1540" s="1100">
        <v>1.008610714016605</v>
      </c>
      <c r="K1540">
        <v>1.3310628034992316</v>
      </c>
      <c r="L1540">
        <v>0</v>
      </c>
      <c r="M1540">
        <v>5.9229948540196072E-4</v>
      </c>
      <c r="N1540">
        <v>5.5394454727840173E-2</v>
      </c>
      <c r="O1540">
        <v>7.8703341986305544E-3</v>
      </c>
      <c r="P1540">
        <v>1.6508753752379483E-2</v>
      </c>
      <c r="Q1540">
        <v>4.5825220906405744E-4</v>
      </c>
      <c r="R1540">
        <v>5.9052239008596495E-4</v>
      </c>
      <c r="S1540">
        <v>6.1482039505625384E-2</v>
      </c>
      <c r="T1540">
        <v>1.0459071397748045</v>
      </c>
      <c r="U1540">
        <v>0</v>
      </c>
      <c r="V1540">
        <v>9.7884370194606857E-2</v>
      </c>
      <c r="W1540">
        <v>3.6269241933160251E-2</v>
      </c>
      <c r="X1540">
        <v>7.68278701827637E-3</v>
      </c>
      <c r="Y1540">
        <v>1.6072072801604227E-3</v>
      </c>
    </row>
    <row r="1541" spans="1:25" x14ac:dyDescent="0.25">
      <c r="A1541" s="1096"/>
      <c r="B1541" s="1455">
        <v>1291</v>
      </c>
      <c r="C1541" s="1100">
        <v>0.97590689923701446</v>
      </c>
      <c r="D1541" s="1100">
        <v>1.0025010281359834</v>
      </c>
      <c r="E1541" s="1100">
        <v>1.0168852936636821</v>
      </c>
      <c r="F1541" s="1100">
        <v>1.0148142368074529</v>
      </c>
      <c r="G1541" s="1100">
        <v>0.97471650822473288</v>
      </c>
      <c r="H1541" s="1100">
        <v>1.0132465836382352</v>
      </c>
      <c r="I1541" s="1100">
        <v>0.98246015480552074</v>
      </c>
      <c r="K1541">
        <v>1.3363344223227895</v>
      </c>
      <c r="L1541">
        <v>0</v>
      </c>
      <c r="M1541">
        <v>6.0190958428015244E-4</v>
      </c>
      <c r="N1541">
        <v>5.8245093085972824E-2</v>
      </c>
      <c r="O1541">
        <v>7.9498776341691332E-3</v>
      </c>
      <c r="P1541">
        <v>1.6651330960142145E-2</v>
      </c>
      <c r="Q1541">
        <v>4.6812062055535334E-4</v>
      </c>
      <c r="R1541">
        <v>6.0015667302750722E-4</v>
      </c>
      <c r="S1541">
        <v>6.131902253146157E-2</v>
      </c>
      <c r="T1541">
        <v>1.0471669668268773</v>
      </c>
      <c r="U1541">
        <v>0</v>
      </c>
      <c r="V1541">
        <v>9.7126932134461594E-2</v>
      </c>
      <c r="W1541">
        <v>3.7883510625418226E-2</v>
      </c>
      <c r="X1541">
        <v>7.8918921925958015E-3</v>
      </c>
      <c r="Y1541">
        <v>1.6334286223867824E-3</v>
      </c>
    </row>
    <row r="1542" spans="1:25" x14ac:dyDescent="0.25">
      <c r="A1542" s="1096"/>
      <c r="B1542" s="1455">
        <v>1292</v>
      </c>
      <c r="C1542" s="1100">
        <v>1.0145536138181193</v>
      </c>
      <c r="D1542" s="1100">
        <v>1.0144586113314615</v>
      </c>
      <c r="E1542" s="1100">
        <v>0.98316044243636636</v>
      </c>
      <c r="F1542" s="1100">
        <v>1.0440810486287855</v>
      </c>
      <c r="G1542" s="1100">
        <v>0.99526271183175785</v>
      </c>
      <c r="H1542" s="1100">
        <v>0.99708302141458027</v>
      </c>
      <c r="I1542" s="1100">
        <v>0.98503561975777354</v>
      </c>
      <c r="K1542">
        <v>1.3559239069873721</v>
      </c>
      <c r="L1542">
        <v>0</v>
      </c>
      <c r="M1542">
        <v>6.081380840075554E-4</v>
      </c>
      <c r="N1542">
        <v>5.3144642838706395E-2</v>
      </c>
      <c r="O1542">
        <v>7.60275214338413E-3</v>
      </c>
      <c r="P1542">
        <v>1.6616970076052166E-2</v>
      </c>
      <c r="Q1542">
        <v>4.3275854732850098E-4</v>
      </c>
      <c r="R1542">
        <v>6.0633832357864413E-4</v>
      </c>
      <c r="S1542">
        <v>5.8255493165387216E-2</v>
      </c>
      <c r="T1542">
        <v>1.0784148811866983</v>
      </c>
      <c r="U1542">
        <v>0</v>
      </c>
      <c r="V1542">
        <v>9.7116009203696035E-2</v>
      </c>
      <c r="W1542">
        <v>3.5265952620969099E-2</v>
      </c>
      <c r="X1542">
        <v>7.4259939281721993E-3</v>
      </c>
      <c r="Y1542">
        <v>1.6502530374064204E-3</v>
      </c>
    </row>
    <row r="1543" spans="1:25" x14ac:dyDescent="0.25">
      <c r="A1543" s="1096"/>
      <c r="B1543" s="1455">
        <v>1293</v>
      </c>
      <c r="C1543" s="1100">
        <v>1.0188284931806602</v>
      </c>
      <c r="D1543" s="1100">
        <v>0.98521752587611433</v>
      </c>
      <c r="E1543" s="1100">
        <v>1.0020000507620326</v>
      </c>
      <c r="F1543" s="1100">
        <v>0.97358114497325843</v>
      </c>
      <c r="G1543" s="1100">
        <v>0.96179210394675596</v>
      </c>
      <c r="H1543" s="1100">
        <v>0.99698777972300012</v>
      </c>
      <c r="I1543" s="1100">
        <v>1.0281222245550361</v>
      </c>
      <c r="K1543">
        <v>1.2852136686489979</v>
      </c>
      <c r="L1543">
        <v>0</v>
      </c>
      <c r="M1543">
        <v>5.8920083933077525E-4</v>
      </c>
      <c r="N1543">
        <v>5.4507141189409157E-2</v>
      </c>
      <c r="O1543">
        <v>7.6645056191563714E-3</v>
      </c>
      <c r="P1543">
        <v>1.5873016673802736E-2</v>
      </c>
      <c r="Q1543">
        <v>4.4464889330735242E-4</v>
      </c>
      <c r="R1543">
        <v>5.8745695634668282E-4</v>
      </c>
      <c r="S1543">
        <v>6.1521928094513484E-2</v>
      </c>
      <c r="T1543">
        <v>1.0050466304688326</v>
      </c>
      <c r="U1543">
        <v>0</v>
      </c>
      <c r="V1543">
        <v>9.5415109780053728E-2</v>
      </c>
      <c r="W1543">
        <v>3.5764980149150055E-2</v>
      </c>
      <c r="X1543">
        <v>7.3785874837137841E-3</v>
      </c>
      <c r="Y1543">
        <v>1.598864180042057E-3</v>
      </c>
    </row>
    <row r="1544" spans="1:25" x14ac:dyDescent="0.25">
      <c r="A1544" s="1096"/>
      <c r="B1544" s="1455">
        <v>1294</v>
      </c>
      <c r="C1544" s="1100">
        <v>1.0194601535543937</v>
      </c>
      <c r="D1544" s="1100">
        <v>0.99733811015724172</v>
      </c>
      <c r="E1544" s="1100">
        <v>0.95965800419810809</v>
      </c>
      <c r="F1544" s="1100">
        <v>0.98717317076828559</v>
      </c>
      <c r="G1544" s="1100">
        <v>1.002524572348205</v>
      </c>
      <c r="H1544" s="1100">
        <v>0.99793843250892644</v>
      </c>
      <c r="I1544" s="1100">
        <v>0.9586952598473506</v>
      </c>
      <c r="K1544">
        <v>1.2939164959902141</v>
      </c>
      <c r="L1544">
        <v>0</v>
      </c>
      <c r="M1544">
        <v>6.4019573436586139E-4</v>
      </c>
      <c r="N1544">
        <v>5.2103726646927036E-2</v>
      </c>
      <c r="O1544">
        <v>7.6122099533973038E-3</v>
      </c>
      <c r="P1544">
        <v>1.5537942475333343E-2</v>
      </c>
      <c r="Q1544">
        <v>4.2302043958666332E-4</v>
      </c>
      <c r="R1544">
        <v>6.3830272463683284E-4</v>
      </c>
      <c r="S1544">
        <v>5.6945398222170152E-2</v>
      </c>
      <c r="T1544">
        <v>1.0203460591198186</v>
      </c>
      <c r="U1544">
        <v>0</v>
      </c>
      <c r="V1544">
        <v>9.7323985047108E-2</v>
      </c>
      <c r="W1544">
        <v>3.5072795649824226E-2</v>
      </c>
      <c r="X1544">
        <v>6.8160018457538414E-3</v>
      </c>
      <c r="Y1544">
        <v>1.7372496000248329E-3</v>
      </c>
    </row>
    <row r="1545" spans="1:25" x14ac:dyDescent="0.25">
      <c r="A1545" s="1096"/>
      <c r="B1545" s="1455">
        <v>1295</v>
      </c>
      <c r="C1545" s="1100">
        <v>0.98523710965225353</v>
      </c>
      <c r="D1545" s="1100">
        <v>0.99365583108953692</v>
      </c>
      <c r="E1545" s="1100">
        <v>1.0137697659960612</v>
      </c>
      <c r="F1545" s="1100">
        <v>1.0290080426141972</v>
      </c>
      <c r="G1545" s="1100">
        <v>1.0302674521280981</v>
      </c>
      <c r="H1545" s="1100">
        <v>0.98258012653692051</v>
      </c>
      <c r="I1545" s="1100">
        <v>0.99335719058177174</v>
      </c>
      <c r="K1545">
        <v>1.3493688880189136</v>
      </c>
      <c r="L1545">
        <v>0</v>
      </c>
      <c r="M1545">
        <v>5.8398879520801935E-4</v>
      </c>
      <c r="N1545">
        <v>5.5977014320147164E-2</v>
      </c>
      <c r="O1545">
        <v>7.9017764031086759E-3</v>
      </c>
      <c r="P1545">
        <v>1.6842201180061959E-2</v>
      </c>
      <c r="Q1545">
        <v>4.6384562530379529E-4</v>
      </c>
      <c r="R1545">
        <v>5.8223499403204065E-4</v>
      </c>
      <c r="S1545">
        <v>6.0754302443572376E-2</v>
      </c>
      <c r="T1545">
        <v>1.0619072406662902</v>
      </c>
      <c r="U1545">
        <v>0</v>
      </c>
      <c r="V1545">
        <v>9.9570514787678893E-2</v>
      </c>
      <c r="W1545">
        <v>3.6474985655029879E-2</v>
      </c>
      <c r="X1545">
        <v>7.8941090188558646E-3</v>
      </c>
      <c r="Y1545">
        <v>1.5846517200410154E-3</v>
      </c>
    </row>
    <row r="1546" spans="1:25" x14ac:dyDescent="0.25">
      <c r="A1546" s="1096"/>
      <c r="B1546" s="1455">
        <v>1296</v>
      </c>
      <c r="C1546" s="1100">
        <v>1.0305638579162648</v>
      </c>
      <c r="D1546" s="1100">
        <v>1.0128746203450585</v>
      </c>
      <c r="E1546" s="1100">
        <v>0.97877836164326326</v>
      </c>
      <c r="F1546" s="1100">
        <v>0.99294741051850655</v>
      </c>
      <c r="G1546" s="1100">
        <v>1.0273885099827493</v>
      </c>
      <c r="H1546" s="1100">
        <v>0.96616211142041575</v>
      </c>
      <c r="I1546" s="1100">
        <v>1.0092205822850966</v>
      </c>
      <c r="K1546">
        <v>1.2984764720680795</v>
      </c>
      <c r="L1546">
        <v>0</v>
      </c>
      <c r="M1546">
        <v>5.8577154800268046E-4</v>
      </c>
      <c r="N1546">
        <v>5.0511066994374784E-2</v>
      </c>
      <c r="O1546">
        <v>7.4882846608035365E-3</v>
      </c>
      <c r="P1546">
        <v>1.5865369753034198E-2</v>
      </c>
      <c r="Q1546">
        <v>4.2434968977984384E-4</v>
      </c>
      <c r="R1546">
        <v>5.839824996049964E-4</v>
      </c>
      <c r="S1546">
        <v>5.7884076126323861E-2</v>
      </c>
      <c r="T1546">
        <v>1.0257317385816556</v>
      </c>
      <c r="U1546">
        <v>0</v>
      </c>
      <c r="V1546">
        <v>9.8285758625187486E-2</v>
      </c>
      <c r="W1546">
        <v>3.3607091793005174E-2</v>
      </c>
      <c r="X1546">
        <v>7.0911170381676549E-3</v>
      </c>
      <c r="Y1546">
        <v>1.5894078541455437E-3</v>
      </c>
    </row>
    <row r="1547" spans="1:25" x14ac:dyDescent="0.25">
      <c r="A1547" s="1096"/>
      <c r="B1547" s="1455">
        <v>1297</v>
      </c>
      <c r="C1547" s="1100">
        <v>1.0148870787649693</v>
      </c>
      <c r="D1547" s="1100">
        <v>0.99160276073802511</v>
      </c>
      <c r="E1547" s="1100">
        <v>1.0042941244277119</v>
      </c>
      <c r="F1547" s="1100">
        <v>1.0207013591556684</v>
      </c>
      <c r="G1547" s="1100">
        <v>0.99025770809307068</v>
      </c>
      <c r="H1547" s="1100">
        <v>0.97134454581486163</v>
      </c>
      <c r="I1547" s="1100">
        <v>0.98145858202613345</v>
      </c>
      <c r="K1547">
        <v>1.3305392462195686</v>
      </c>
      <c r="L1547">
        <v>0</v>
      </c>
      <c r="M1547">
        <v>5.7205831316007466E-4</v>
      </c>
      <c r="N1547">
        <v>5.3285085207634676E-2</v>
      </c>
      <c r="O1547">
        <v>7.674971782931121E-3</v>
      </c>
      <c r="P1547">
        <v>1.6536649629342235E-2</v>
      </c>
      <c r="Q1547">
        <v>4.4628221287528564E-4</v>
      </c>
      <c r="R1547">
        <v>5.7032046906090126E-4</v>
      </c>
      <c r="S1547">
        <v>5.7995900033625682E-2</v>
      </c>
      <c r="T1547">
        <v>1.0536202607816729</v>
      </c>
      <c r="U1547">
        <v>0</v>
      </c>
      <c r="V1547">
        <v>9.6889218667615642E-2</v>
      </c>
      <c r="W1547">
        <v>3.4915604779564006E-2</v>
      </c>
      <c r="X1547">
        <v>7.6247866577123947E-3</v>
      </c>
      <c r="Y1547">
        <v>1.5522243106916756E-3</v>
      </c>
    </row>
    <row r="1548" spans="1:25" x14ac:dyDescent="0.25">
      <c r="A1548" s="1096"/>
      <c r="B1548" s="1455">
        <v>1298</v>
      </c>
      <c r="C1548" s="1100">
        <v>1.0025353675507362</v>
      </c>
      <c r="D1548" s="1100">
        <v>1.0258005842790592</v>
      </c>
      <c r="E1548" s="1100">
        <v>0.97162874960676682</v>
      </c>
      <c r="F1548" s="1100">
        <v>0.9944207021262923</v>
      </c>
      <c r="G1548" s="1100">
        <v>0.99106586678345654</v>
      </c>
      <c r="H1548" s="1100">
        <v>0.97873030255898663</v>
      </c>
      <c r="I1548" s="1100">
        <v>1.033076333205277</v>
      </c>
      <c r="K1548">
        <v>1.3048802191063518</v>
      </c>
      <c r="L1548">
        <v>0</v>
      </c>
      <c r="M1548">
        <v>6.1592697437200554E-4</v>
      </c>
      <c r="N1548">
        <v>5.1976433452674345E-2</v>
      </c>
      <c r="O1548">
        <v>7.6569668712176478E-3</v>
      </c>
      <c r="P1548">
        <v>1.5827679859768153E-2</v>
      </c>
      <c r="Q1548">
        <v>4.3075855952653123E-4</v>
      </c>
      <c r="R1548">
        <v>6.1406998247831568E-4</v>
      </c>
      <c r="S1548">
        <v>6.0878968833453763E-2</v>
      </c>
      <c r="T1548">
        <v>1.0274705675823317</v>
      </c>
      <c r="U1548">
        <v>0</v>
      </c>
      <c r="V1548">
        <v>9.7193048929961945E-2</v>
      </c>
      <c r="W1548">
        <v>3.4732249101945716E-2</v>
      </c>
      <c r="X1548">
        <v>7.0441068431749219E-3</v>
      </c>
      <c r="Y1548">
        <v>1.6712960641906548E-3</v>
      </c>
    </row>
    <row r="1549" spans="1:25" x14ac:dyDescent="0.25">
      <c r="A1549" s="1096"/>
      <c r="B1549" s="1455">
        <v>1299</v>
      </c>
      <c r="C1549" s="1100">
        <v>0.98902321573562102</v>
      </c>
      <c r="D1549" s="1100">
        <v>1.0026131422362627</v>
      </c>
      <c r="E1549" s="1100">
        <v>1.0121172732733985</v>
      </c>
      <c r="F1549" s="1100">
        <v>0.97899950848280048</v>
      </c>
      <c r="G1549" s="1100">
        <v>1.0145211555909677</v>
      </c>
      <c r="H1549" s="1100">
        <v>1.0037054559642182</v>
      </c>
      <c r="I1549" s="1100">
        <v>1.0303941357734887</v>
      </c>
      <c r="K1549">
        <v>1.2995135028469327</v>
      </c>
      <c r="L1549">
        <v>0</v>
      </c>
      <c r="M1549">
        <v>5.9416869434104382E-4</v>
      </c>
      <c r="N1549">
        <v>5.6673018299520844E-2</v>
      </c>
      <c r="O1549">
        <v>7.8429115298798962E-3</v>
      </c>
      <c r="P1549">
        <v>1.6133206989691923E-2</v>
      </c>
      <c r="Q1549">
        <v>4.5963151592585966E-4</v>
      </c>
      <c r="R1549">
        <v>5.9242187778540999E-4</v>
      </c>
      <c r="S1549">
        <v>6.3145922900778265E-2</v>
      </c>
      <c r="T1549">
        <v>1.0103473765981559</v>
      </c>
      <c r="U1549">
        <v>0</v>
      </c>
      <c r="V1549">
        <v>9.8710504571785596E-2</v>
      </c>
      <c r="W1549">
        <v>3.6964424937535309E-2</v>
      </c>
      <c r="X1549">
        <v>7.6258752607012703E-3</v>
      </c>
      <c r="Y1549">
        <v>1.6123770595123602E-3</v>
      </c>
    </row>
    <row r="1550" spans="1:25" x14ac:dyDescent="0.25">
      <c r="A1550" s="1096"/>
      <c r="B1550" s="1455">
        <v>1300</v>
      </c>
      <c r="C1550" s="1100">
        <v>0.9774948400908976</v>
      </c>
      <c r="D1550" s="1100">
        <v>0.99665901196937889</v>
      </c>
      <c r="E1550" s="1100">
        <v>1.0320808275689177</v>
      </c>
      <c r="F1550" s="1100">
        <v>1.0002783302284912</v>
      </c>
      <c r="G1550" s="1100">
        <v>0.99488190438447777</v>
      </c>
      <c r="H1550" s="1100">
        <v>0.99708865550658865</v>
      </c>
      <c r="I1550" s="1100">
        <v>0.99605298926754748</v>
      </c>
      <c r="K1550">
        <v>1.3219405281668644</v>
      </c>
      <c r="L1550">
        <v>0</v>
      </c>
      <c r="M1550">
        <v>5.7427362099128371E-4</v>
      </c>
      <c r="N1550">
        <v>5.8173959768326171E-2</v>
      </c>
      <c r="O1550">
        <v>7.9593750595612182E-3</v>
      </c>
      <c r="P1550">
        <v>1.6641077975632686E-2</v>
      </c>
      <c r="Q1550">
        <v>4.7579607831194261E-4</v>
      </c>
      <c r="R1550">
        <v>5.7257409069469303E-4</v>
      </c>
      <c r="S1550">
        <v>6.1772569582940147E-2</v>
      </c>
      <c r="T1550">
        <v>1.031726272505604</v>
      </c>
      <c r="U1550">
        <v>0</v>
      </c>
      <c r="V1550">
        <v>9.807855223288546E-2</v>
      </c>
      <c r="W1550">
        <v>3.7503524949683363E-2</v>
      </c>
      <c r="X1550">
        <v>8.0527416183405701E-3</v>
      </c>
      <c r="Y1550">
        <v>1.5583579258726843E-3</v>
      </c>
    </row>
    <row r="1551" spans="1:25" x14ac:dyDescent="0.25">
      <c r="A1551" s="1096"/>
      <c r="B1551" s="1455">
        <v>1301</v>
      </c>
      <c r="C1551" s="1100">
        <v>0.96946201401491761</v>
      </c>
      <c r="D1551" s="1100">
        <v>0.99466137310576985</v>
      </c>
      <c r="E1551" s="1100">
        <v>1.0102500922257103</v>
      </c>
      <c r="F1551" s="1100">
        <v>0.99127401825846062</v>
      </c>
      <c r="G1551" s="1100">
        <v>0.96054413189835453</v>
      </c>
      <c r="H1551" s="1100">
        <v>1.0281109910206359</v>
      </c>
      <c r="I1551" s="1100">
        <v>0.97798478609232653</v>
      </c>
      <c r="K1551">
        <v>1.3140043991651376</v>
      </c>
      <c r="L1551">
        <v>0</v>
      </c>
      <c r="M1551">
        <v>6.2529851204319825E-4</v>
      </c>
      <c r="N1551">
        <v>5.9311165374872993E-2</v>
      </c>
      <c r="O1551">
        <v>8.0262111500525087E-3</v>
      </c>
      <c r="P1551">
        <v>1.6243227239529336E-2</v>
      </c>
      <c r="Q1551">
        <v>4.6949717144718407E-4</v>
      </c>
      <c r="R1551">
        <v>6.2350381473433758E-4</v>
      </c>
      <c r="S1551">
        <v>6.2156661934500201E-2</v>
      </c>
      <c r="T1551">
        <v>1.0230693960683941</v>
      </c>
      <c r="U1551">
        <v>0</v>
      </c>
      <c r="V1551">
        <v>9.6602664156397761E-2</v>
      </c>
      <c r="W1551">
        <v>3.872770799410543E-2</v>
      </c>
      <c r="X1551">
        <v>7.7026909274167232E-3</v>
      </c>
      <c r="Y1551">
        <v>1.6969718457295795E-3</v>
      </c>
    </row>
    <row r="1552" spans="1:25" x14ac:dyDescent="0.25">
      <c r="A1552" s="1096"/>
      <c r="B1552" s="1455">
        <v>1302</v>
      </c>
      <c r="C1552" s="1100">
        <v>0.97573345543921963</v>
      </c>
      <c r="D1552" s="1100">
        <v>0.96238641573575623</v>
      </c>
      <c r="E1552" s="1100">
        <v>1.0384032753521486</v>
      </c>
      <c r="F1552" s="1100">
        <v>0.98916296545949534</v>
      </c>
      <c r="G1552" s="1100">
        <v>1.0066164551299315</v>
      </c>
      <c r="H1552" s="1100">
        <v>0.97217566807614197</v>
      </c>
      <c r="I1552" s="1100">
        <v>1.0005162027073731</v>
      </c>
      <c r="K1552">
        <v>1.3113115475271</v>
      </c>
      <c r="L1552">
        <v>0</v>
      </c>
      <c r="M1552">
        <v>5.6139154881398672E-4</v>
      </c>
      <c r="N1552">
        <v>5.7958460606436925E-2</v>
      </c>
      <c r="O1552">
        <v>8.0877606634808391E-3</v>
      </c>
      <c r="P1552">
        <v>1.6573670868761003E-2</v>
      </c>
      <c r="Q1552">
        <v>4.8649361926316495E-4</v>
      </c>
      <c r="R1552">
        <v>5.5968756705398689E-4</v>
      </c>
      <c r="S1552">
        <v>6.255472739401724E-2</v>
      </c>
      <c r="T1552">
        <v>1.0200818321250147</v>
      </c>
      <c r="U1552">
        <v>0</v>
      </c>
      <c r="V1552">
        <v>9.8699377586333528E-2</v>
      </c>
      <c r="W1552">
        <v>3.7228279773803961E-2</v>
      </c>
      <c r="X1552">
        <v>8.1193638151832118E-3</v>
      </c>
      <c r="Y1552">
        <v>1.5232850565640591E-3</v>
      </c>
    </row>
    <row r="1553" spans="1:25" x14ac:dyDescent="0.25">
      <c r="A1553" s="1096"/>
      <c r="B1553" s="1455">
        <v>1303</v>
      </c>
      <c r="C1553" s="1100">
        <v>0.9684525184154239</v>
      </c>
      <c r="D1553" s="1100">
        <v>1.0052786984633966</v>
      </c>
      <c r="E1553" s="1100">
        <v>0.99400772844045637</v>
      </c>
      <c r="F1553" s="1100">
        <v>0.96806200461613945</v>
      </c>
      <c r="G1553" s="1100">
        <v>1.0244936981711446</v>
      </c>
      <c r="H1553" s="1100">
        <v>0.98178054168313922</v>
      </c>
      <c r="I1553" s="1100">
        <v>1.0047461574272645</v>
      </c>
      <c r="K1553">
        <v>1.2868303333095736</v>
      </c>
      <c r="L1553">
        <v>0</v>
      </c>
      <c r="M1553">
        <v>6.1561143184623755E-4</v>
      </c>
      <c r="N1553">
        <v>5.5588955334092062E-2</v>
      </c>
      <c r="O1553">
        <v>7.9964165755385588E-3</v>
      </c>
      <c r="P1553">
        <v>1.5770128104360834E-2</v>
      </c>
      <c r="Q1553">
        <v>4.6018834885396247E-4</v>
      </c>
      <c r="R1553">
        <v>6.1376115772765276E-4</v>
      </c>
      <c r="S1553">
        <v>6.2081208503429901E-2</v>
      </c>
      <c r="T1553">
        <v>0.99957987012484273</v>
      </c>
      <c r="U1553">
        <v>0</v>
      </c>
      <c r="V1553">
        <v>9.9704727425986781E-2</v>
      </c>
      <c r="W1553">
        <v>3.6648764635913988E-2</v>
      </c>
      <c r="X1553">
        <v>7.3314689856496364E-3</v>
      </c>
      <c r="Y1553">
        <v>1.6704555450234022E-3</v>
      </c>
    </row>
    <row r="1554" spans="1:25" x14ac:dyDescent="0.25">
      <c r="A1554" s="1096"/>
      <c r="B1554" s="1455">
        <v>1304</v>
      </c>
      <c r="C1554" s="1100">
        <v>1.0175077577574099</v>
      </c>
      <c r="D1554" s="1100">
        <v>0.97734433201232718</v>
      </c>
      <c r="E1554" s="1100">
        <v>1.018649711714068</v>
      </c>
      <c r="F1554" s="1100">
        <v>1.0102685555378403</v>
      </c>
      <c r="G1554" s="1100">
        <v>1.0121667140119024</v>
      </c>
      <c r="H1554" s="1100">
        <v>0.96294010425085808</v>
      </c>
      <c r="I1554" s="1100">
        <v>0.99679438324578706</v>
      </c>
      <c r="K1554">
        <v>1.3219442973829574</v>
      </c>
      <c r="L1554">
        <v>0</v>
      </c>
      <c r="M1554">
        <v>5.522136133422101E-4</v>
      </c>
      <c r="N1554">
        <v>5.3713195645571338E-2</v>
      </c>
      <c r="O1554">
        <v>7.7031841576075044E-3</v>
      </c>
      <c r="P1554">
        <v>1.6585567968316582E-2</v>
      </c>
      <c r="Q1554">
        <v>4.5439164293663037E-4</v>
      </c>
      <c r="R1554">
        <v>5.505214134903406E-4</v>
      </c>
      <c r="S1554">
        <v>5.8970605780563415E-2</v>
      </c>
      <c r="T1554">
        <v>1.0424242510491419</v>
      </c>
      <c r="U1554">
        <v>0</v>
      </c>
      <c r="V1554">
        <v>9.7902289997227346E-2</v>
      </c>
      <c r="W1554">
        <v>3.4899786073941452E-2</v>
      </c>
      <c r="X1554">
        <v>7.7943794593169982E-3</v>
      </c>
      <c r="Y1554">
        <v>1.4983378081855237E-3</v>
      </c>
    </row>
    <row r="1555" spans="1:25" x14ac:dyDescent="0.25">
      <c r="A1555" s="1096"/>
      <c r="B1555" s="1455">
        <v>1305</v>
      </c>
      <c r="C1555" s="1100">
        <v>0.98028162515387751</v>
      </c>
      <c r="D1555" s="1100">
        <v>0.99786489988607996</v>
      </c>
      <c r="E1555" s="1100">
        <v>0.98803844158136156</v>
      </c>
      <c r="F1555" s="1100">
        <v>1.0012710420488757</v>
      </c>
      <c r="G1555" s="1100">
        <v>0.99607731805471067</v>
      </c>
      <c r="H1555" s="1100">
        <v>1.0062653918668354</v>
      </c>
      <c r="I1555" s="1100">
        <v>0.99381640743621902</v>
      </c>
      <c r="K1555">
        <v>1.3206184170845685</v>
      </c>
      <c r="L1555">
        <v>0</v>
      </c>
      <c r="M1555">
        <v>6.3297726367596242E-4</v>
      </c>
      <c r="N1555">
        <v>5.6138958443019478E-2</v>
      </c>
      <c r="O1555">
        <v>7.9218548670152832E-3</v>
      </c>
      <c r="P1555">
        <v>1.6136853059506587E-2</v>
      </c>
      <c r="Q1555">
        <v>4.5315652524665842E-4</v>
      </c>
      <c r="R1555">
        <v>6.311210866523112E-4</v>
      </c>
      <c r="S1555">
        <v>6.1659386875028713E-2</v>
      </c>
      <c r="T1555">
        <v>1.0340496203394818</v>
      </c>
      <c r="U1555">
        <v>0</v>
      </c>
      <c r="V1555">
        <v>9.8014640585853643E-2</v>
      </c>
      <c r="W1555">
        <v>3.7143852496280189E-2</v>
      </c>
      <c r="X1555">
        <v>7.3842465213014748E-3</v>
      </c>
      <c r="Y1555">
        <v>1.7177035488572905E-3</v>
      </c>
    </row>
    <row r="1556" spans="1:25" x14ac:dyDescent="0.25">
      <c r="A1556" s="1096"/>
      <c r="B1556" s="1455">
        <v>1306</v>
      </c>
      <c r="C1556" s="1100">
        <v>0.99071162619313236</v>
      </c>
      <c r="D1556" s="1100">
        <v>0.98412900435503625</v>
      </c>
      <c r="E1556" s="1100">
        <v>0.98341931860666643</v>
      </c>
      <c r="F1556" s="1100">
        <v>0.98306210243733771</v>
      </c>
      <c r="G1556" s="1100">
        <v>0.9934877763390233</v>
      </c>
      <c r="H1556" s="1100">
        <v>1.0056779149058999</v>
      </c>
      <c r="I1556" s="1100">
        <v>0.98515194739190892</v>
      </c>
      <c r="K1556">
        <v>1.299439504592643</v>
      </c>
      <c r="L1556">
        <v>0</v>
      </c>
      <c r="M1556">
        <v>6.3547410293963622E-4</v>
      </c>
      <c r="N1556">
        <v>5.5578427241804569E-2</v>
      </c>
      <c r="O1556">
        <v>7.8808859667242066E-3</v>
      </c>
      <c r="P1556">
        <v>1.581367987706718E-2</v>
      </c>
      <c r="Q1556">
        <v>4.4870811986398926E-4</v>
      </c>
      <c r="R1556">
        <v>6.3360951546666592E-4</v>
      </c>
      <c r="S1556">
        <v>6.0907005338061267E-2</v>
      </c>
      <c r="T1556">
        <v>1.0153816701283027</v>
      </c>
      <c r="U1556">
        <v>0</v>
      </c>
      <c r="V1556">
        <v>9.7618138429741722E-2</v>
      </c>
      <c r="W1556">
        <v>3.6875224222368816E-2</v>
      </c>
      <c r="X1556">
        <v>7.2131536244009128E-3</v>
      </c>
      <c r="Y1556">
        <v>1.7244762317796265E-3</v>
      </c>
    </row>
    <row r="1557" spans="1:25" x14ac:dyDescent="0.25">
      <c r="A1557" s="1096"/>
      <c r="B1557" s="1455">
        <v>1307</v>
      </c>
      <c r="C1557" s="1100">
        <v>1.0345617858997229</v>
      </c>
      <c r="D1557" s="1100">
        <v>0.97950160543313225</v>
      </c>
      <c r="E1557" s="1100">
        <v>0.97986887286828339</v>
      </c>
      <c r="F1557" s="1100">
        <v>1.0086181064160138</v>
      </c>
      <c r="G1557" s="1100">
        <v>1.010436586491225</v>
      </c>
      <c r="H1557" s="1100">
        <v>1.0319255991981586</v>
      </c>
      <c r="I1557" s="1100">
        <v>0.99652535801224118</v>
      </c>
      <c r="K1557">
        <v>1.3229984501122973</v>
      </c>
      <c r="L1557">
        <v>0</v>
      </c>
      <c r="M1557">
        <v>6.3021123821063306E-4</v>
      </c>
      <c r="N1557">
        <v>5.4533356250544611E-2</v>
      </c>
      <c r="O1557">
        <v>7.5602467993846831E-3</v>
      </c>
      <c r="P1557">
        <v>1.6110697048062152E-2</v>
      </c>
      <c r="Q1557">
        <v>4.2890298322460009E-4</v>
      </c>
      <c r="R1557">
        <v>6.284091270530196E-4</v>
      </c>
      <c r="S1557">
        <v>5.9922976133221527E-2</v>
      </c>
      <c r="T1557">
        <v>1.0418864181599317</v>
      </c>
      <c r="U1557">
        <v>0</v>
      </c>
      <c r="V1557">
        <v>9.737408895365493E-2</v>
      </c>
      <c r="W1557">
        <v>3.6259389763207216E-2</v>
      </c>
      <c r="X1557">
        <v>7.2138536433983443E-3</v>
      </c>
      <c r="Y1557">
        <v>1.7103224888252607E-3</v>
      </c>
    </row>
    <row r="1558" spans="1:25" x14ac:dyDescent="0.25">
      <c r="A1558" s="1096"/>
      <c r="B1558" s="1455">
        <v>1308</v>
      </c>
      <c r="C1558" s="1100">
        <v>1.0181048898998251</v>
      </c>
      <c r="D1558" s="1100">
        <v>0.96366417482261946</v>
      </c>
      <c r="E1558" s="1100">
        <v>0.99365828337783302</v>
      </c>
      <c r="F1558" s="1100">
        <v>0.95773664965178962</v>
      </c>
      <c r="G1558" s="1100">
        <v>0.96410417033216411</v>
      </c>
      <c r="H1558" s="1100">
        <v>1.0378134351077082</v>
      </c>
      <c r="I1558" s="1100">
        <v>1.0056458638857468</v>
      </c>
      <c r="K1558">
        <v>1.2736344520524072</v>
      </c>
      <c r="L1558">
        <v>0</v>
      </c>
      <c r="M1558">
        <v>6.3002264370844781E-4</v>
      </c>
      <c r="N1558">
        <v>5.6839462672193142E-2</v>
      </c>
      <c r="O1558">
        <v>7.7360760576710057E-3</v>
      </c>
      <c r="P1558">
        <v>1.5566134883411688E-2</v>
      </c>
      <c r="Q1558">
        <v>4.4504904043645961E-4</v>
      </c>
      <c r="R1558">
        <v>6.2823129271662864E-4</v>
      </c>
      <c r="S1558">
        <v>6.2181119794623131E-2</v>
      </c>
      <c r="T1558">
        <v>0.98892836865217559</v>
      </c>
      <c r="U1558">
        <v>0</v>
      </c>
      <c r="V1558">
        <v>9.5535105636291237E-2</v>
      </c>
      <c r="W1558">
        <v>3.7481022543953704E-2</v>
      </c>
      <c r="X1558">
        <v>7.2140656402579764E-3</v>
      </c>
      <c r="Y1558">
        <v>1.7098384823846773E-3</v>
      </c>
    </row>
    <row r="1559" spans="1:25" x14ac:dyDescent="0.25">
      <c r="A1559" s="1096"/>
      <c r="B1559" s="1455">
        <v>1309</v>
      </c>
      <c r="C1559" s="1100">
        <v>0.97798136736376073</v>
      </c>
      <c r="D1559" s="1100">
        <v>0.9944421346595459</v>
      </c>
      <c r="E1559" s="1100">
        <v>1.0009786892118064</v>
      </c>
      <c r="F1559" s="1100">
        <v>1.0047298832186085</v>
      </c>
      <c r="G1559" s="1100">
        <v>0.98591976294215511</v>
      </c>
      <c r="H1559" s="1100">
        <v>1.0031850109622722</v>
      </c>
      <c r="I1559" s="1100">
        <v>0.97667254960781524</v>
      </c>
      <c r="K1559">
        <v>1.3238095230432518</v>
      </c>
      <c r="L1559">
        <v>0</v>
      </c>
      <c r="M1559">
        <v>6.166325111262238E-4</v>
      </c>
      <c r="N1559">
        <v>5.6870160176435661E-2</v>
      </c>
      <c r="O1559">
        <v>7.9546607468910929E-3</v>
      </c>
      <c r="P1559">
        <v>1.6319756889562873E-2</v>
      </c>
      <c r="Q1559">
        <v>4.6100881481154506E-4</v>
      </c>
      <c r="R1559">
        <v>6.1481871194131216E-4</v>
      </c>
      <c r="S1559">
        <v>6.0768766705918568E-2</v>
      </c>
      <c r="T1559">
        <v>1.0372325740892745</v>
      </c>
      <c r="U1559">
        <v>0</v>
      </c>
      <c r="V1559">
        <v>9.7597205940492884E-2</v>
      </c>
      <c r="W1559">
        <v>3.7338112522035623E-2</v>
      </c>
      <c r="X1559">
        <v>7.5957570980435289E-3</v>
      </c>
      <c r="Y1559">
        <v>1.6733338589703303E-3</v>
      </c>
    </row>
    <row r="1560" spans="1:25" x14ac:dyDescent="0.25">
      <c r="A1560" s="1096"/>
      <c r="B1560" s="1455">
        <v>1310</v>
      </c>
      <c r="C1560" s="1100">
        <v>1.0344788830951801</v>
      </c>
      <c r="D1560" s="1100">
        <v>1.0074804326341884</v>
      </c>
      <c r="E1560" s="1100">
        <v>0.97970144553840044</v>
      </c>
      <c r="F1560" s="1100">
        <v>0.99356587672888497</v>
      </c>
      <c r="G1560" s="1100">
        <v>0.99815147118396452</v>
      </c>
      <c r="H1560" s="1100">
        <v>1.0079480463796064</v>
      </c>
      <c r="I1560" s="1100">
        <v>1.019325786981226</v>
      </c>
      <c r="K1560">
        <v>1.3030206213297133</v>
      </c>
      <c r="L1560">
        <v>0</v>
      </c>
      <c r="M1560">
        <v>6.0893154052886727E-4</v>
      </c>
      <c r="N1560">
        <v>5.2661705190748913E-2</v>
      </c>
      <c r="O1560">
        <v>7.4761136556236287E-3</v>
      </c>
      <c r="P1560">
        <v>1.588842280958868E-2</v>
      </c>
      <c r="Q1560">
        <v>4.2405781879593457E-4</v>
      </c>
      <c r="R1560">
        <v>6.0714885745701875E-4</v>
      </c>
      <c r="S1560">
        <v>5.966406037713861E-2</v>
      </c>
      <c r="T1560">
        <v>1.0263427568695445</v>
      </c>
      <c r="U1560">
        <v>0</v>
      </c>
      <c r="V1560">
        <v>9.6781588006532443E-2</v>
      </c>
      <c r="W1560">
        <v>3.5018464110484787E-2</v>
      </c>
      <c r="X1560">
        <v>7.1127761308962196E-3</v>
      </c>
      <c r="Y1560">
        <v>1.6524590434309346E-3</v>
      </c>
    </row>
    <row r="1561" spans="1:25" x14ac:dyDescent="0.25">
      <c r="A1561" s="1096"/>
      <c r="B1561" s="1455">
        <v>1311</v>
      </c>
      <c r="C1561" s="1100">
        <v>1.0219536482161815</v>
      </c>
      <c r="D1561" s="1100">
        <v>1.0453479627110283</v>
      </c>
      <c r="E1561" s="1100">
        <v>1.0273348782944425</v>
      </c>
      <c r="F1561" s="1100">
        <v>1.0101686758234494</v>
      </c>
      <c r="G1561" s="1100">
        <v>1.0119227344231443</v>
      </c>
      <c r="H1561" s="1100">
        <v>0.97796708479409789</v>
      </c>
      <c r="I1561" s="1100">
        <v>0.99019835756859687</v>
      </c>
      <c r="K1561">
        <v>1.3181865105463648</v>
      </c>
      <c r="L1561">
        <v>0</v>
      </c>
      <c r="M1561">
        <v>5.3382839213805594E-4</v>
      </c>
      <c r="N1561">
        <v>5.3305575083297051E-2</v>
      </c>
      <c r="O1561">
        <v>7.4681170909272178E-3</v>
      </c>
      <c r="P1561">
        <v>1.6653020906677245E-2</v>
      </c>
      <c r="Q1561">
        <v>4.4433941778107945E-4</v>
      </c>
      <c r="R1561">
        <v>5.322176676971006E-4</v>
      </c>
      <c r="S1561">
        <v>5.6695036878074263E-2</v>
      </c>
      <c r="T1561">
        <v>1.0420660382140658</v>
      </c>
      <c r="U1561">
        <v>0</v>
      </c>
      <c r="V1561">
        <v>9.7794233111927392E-2</v>
      </c>
      <c r="W1561">
        <v>3.4459804739013174E-2</v>
      </c>
      <c r="X1561">
        <v>7.8534347830776317E-3</v>
      </c>
      <c r="Y1561">
        <v>1.4485210459645034E-3</v>
      </c>
    </row>
    <row r="1562" spans="1:25" x14ac:dyDescent="0.25">
      <c r="A1562" s="1096"/>
      <c r="B1562" s="1455">
        <v>1312</v>
      </c>
      <c r="C1562" s="1100">
        <v>1.0172324876623797</v>
      </c>
      <c r="D1562" s="1100">
        <v>1.0019522196992536</v>
      </c>
      <c r="E1562" s="1100">
        <v>0.98619643052600703</v>
      </c>
      <c r="F1562" s="1100">
        <v>1.0303883141271855</v>
      </c>
      <c r="G1562" s="1100">
        <v>0.97629718908520302</v>
      </c>
      <c r="H1562" s="1100">
        <v>0.99493369423666944</v>
      </c>
      <c r="I1562" s="1100">
        <v>1.0154298279536562</v>
      </c>
      <c r="K1562">
        <v>1.342747478098304</v>
      </c>
      <c r="L1562">
        <v>0</v>
      </c>
      <c r="M1562">
        <v>6.044303953014863E-4</v>
      </c>
      <c r="N1562">
        <v>5.3307559654350391E-2</v>
      </c>
      <c r="O1562">
        <v>7.6211789234266357E-3</v>
      </c>
      <c r="P1562">
        <v>1.6476478425187055E-2</v>
      </c>
      <c r="Q1562">
        <v>4.3514463330978444E-4</v>
      </c>
      <c r="R1562">
        <v>6.0263774336205154E-4</v>
      </c>
      <c r="S1562">
        <v>6.0232162479636558E-2</v>
      </c>
      <c r="T1562">
        <v>1.0641773273241233</v>
      </c>
      <c r="U1562">
        <v>0</v>
      </c>
      <c r="V1562">
        <v>9.613762943768446E-2</v>
      </c>
      <c r="W1562">
        <v>3.5309512784241742E-2</v>
      </c>
      <c r="X1562">
        <v>7.4120958103299807E-3</v>
      </c>
      <c r="Y1562">
        <v>1.6401812779527956E-3</v>
      </c>
    </row>
    <row r="1563" spans="1:25" x14ac:dyDescent="0.25">
      <c r="A1563" s="1096"/>
      <c r="B1563" s="1455">
        <v>1313</v>
      </c>
      <c r="C1563" s="1100">
        <v>0.9848868698048272</v>
      </c>
      <c r="D1563" s="1100">
        <v>1.0042478010893983</v>
      </c>
      <c r="E1563" s="1100">
        <v>0.98824650077608778</v>
      </c>
      <c r="F1563" s="1100">
        <v>1.0047110626161713</v>
      </c>
      <c r="G1563" s="1100">
        <v>1.008021046198087</v>
      </c>
      <c r="H1563" s="1100">
        <v>0.99815338447387558</v>
      </c>
      <c r="I1563" s="1100">
        <v>0.97416685224447319</v>
      </c>
      <c r="K1563">
        <v>1.3212063205776601</v>
      </c>
      <c r="L1563">
        <v>0</v>
      </c>
      <c r="M1563">
        <v>6.2307830605665658E-4</v>
      </c>
      <c r="N1563">
        <v>5.5294472827960281E-2</v>
      </c>
      <c r="O1563">
        <v>7.8647802452349331E-3</v>
      </c>
      <c r="P1563">
        <v>1.6167152312108357E-2</v>
      </c>
      <c r="Q1563">
        <v>4.499863858503986E-4</v>
      </c>
      <c r="R1563">
        <v>6.2123630801049368E-4</v>
      </c>
      <c r="S1563">
        <v>5.9708111449731878E-2</v>
      </c>
      <c r="T1563">
        <v>1.037595960687876</v>
      </c>
      <c r="U1563">
        <v>0</v>
      </c>
      <c r="V1563">
        <v>9.8474437375952351E-2</v>
      </c>
      <c r="W1563">
        <v>3.6580539556824929E-2</v>
      </c>
      <c r="X1563">
        <v>7.3819212942562622E-3</v>
      </c>
      <c r="Y1563">
        <v>1.6908004399106668E-3</v>
      </c>
    </row>
    <row r="1564" spans="1:25" x14ac:dyDescent="0.25">
      <c r="A1564" s="1096"/>
      <c r="B1564" s="1455">
        <v>1314</v>
      </c>
      <c r="C1564" s="1100">
        <v>0.99733993311992952</v>
      </c>
      <c r="D1564" s="1100">
        <v>0.9770263030177857</v>
      </c>
      <c r="E1564" s="1100">
        <v>0.97632928462707524</v>
      </c>
      <c r="F1564" s="1100">
        <v>0.98071170700288057</v>
      </c>
      <c r="G1564" s="1100">
        <v>1.0118250139423743</v>
      </c>
      <c r="H1564" s="1100">
        <v>1.0350676933393097</v>
      </c>
      <c r="I1564" s="1100">
        <v>1.0406520924655873</v>
      </c>
      <c r="K1564">
        <v>1.3038867378644114</v>
      </c>
      <c r="L1564">
        <v>0</v>
      </c>
      <c r="M1564">
        <v>6.6120628909472994E-4</v>
      </c>
      <c r="N1564">
        <v>5.660633971610618E-2</v>
      </c>
      <c r="O1564">
        <v>7.8494689959322898E-3</v>
      </c>
      <c r="P1564">
        <v>1.5764755146789731E-2</v>
      </c>
      <c r="Q1564">
        <v>4.4371007209926692E-4</v>
      </c>
      <c r="R1564">
        <v>6.5932128611723942E-4</v>
      </c>
      <c r="S1564">
        <v>6.5097034004214752E-2</v>
      </c>
      <c r="T1564">
        <v>1.013165149152935</v>
      </c>
      <c r="U1564">
        <v>0</v>
      </c>
      <c r="V1564">
        <v>9.8331053279631764E-2</v>
      </c>
      <c r="W1564">
        <v>3.7718372815960147E-2</v>
      </c>
      <c r="X1564">
        <v>7.1182844881122849E-3</v>
      </c>
      <c r="Y1564">
        <v>1.7944551956075698E-3</v>
      </c>
    </row>
    <row r="1565" spans="1:25" x14ac:dyDescent="0.25">
      <c r="A1565" s="1096"/>
      <c r="B1565" s="1455">
        <v>1315</v>
      </c>
      <c r="C1565" s="1100">
        <v>1.0168564497992267</v>
      </c>
      <c r="D1565" s="1100">
        <v>1.0317697274648119</v>
      </c>
      <c r="E1565" s="1100">
        <v>1.001081542226552</v>
      </c>
      <c r="F1565" s="1100">
        <v>0.98166652435312041</v>
      </c>
      <c r="G1565" s="1100">
        <v>0.98534313971432808</v>
      </c>
      <c r="H1565" s="1100">
        <v>1.0314625597071581</v>
      </c>
      <c r="I1565" s="1100">
        <v>0.97073005413780544</v>
      </c>
      <c r="K1565">
        <v>1.2925214730389498</v>
      </c>
      <c r="L1565">
        <v>0</v>
      </c>
      <c r="M1565">
        <v>6.0072514213920848E-4</v>
      </c>
      <c r="N1565">
        <v>5.5424771089144217E-2</v>
      </c>
      <c r="O1565">
        <v>7.5386347587003463E-3</v>
      </c>
      <c r="P1565">
        <v>1.5941382239741266E-2</v>
      </c>
      <c r="Q1565">
        <v>4.3694335988924657E-4</v>
      </c>
      <c r="R1565">
        <v>5.9900657636377563E-4</v>
      </c>
      <c r="S1565">
        <v>5.7768532333824812E-2</v>
      </c>
      <c r="T1565">
        <v>1.0134201207257745</v>
      </c>
      <c r="U1565">
        <v>0</v>
      </c>
      <c r="V1565">
        <v>9.6600611257732116E-2</v>
      </c>
      <c r="W1565">
        <v>3.6386919492208313E-2</v>
      </c>
      <c r="X1565">
        <v>7.3749779093111372E-3</v>
      </c>
      <c r="Y1565">
        <v>1.6302984383973682E-3</v>
      </c>
    </row>
    <row r="1566" spans="1:25" x14ac:dyDescent="0.25">
      <c r="A1566" s="1096"/>
      <c r="B1566" s="1455">
        <v>1316</v>
      </c>
      <c r="C1566" s="1100">
        <v>1.0045574177830516</v>
      </c>
      <c r="D1566" s="1100">
        <v>1.0092429523984279</v>
      </c>
      <c r="E1566" s="1100">
        <v>0.96990523123794803</v>
      </c>
      <c r="F1566" s="1100">
        <v>0.98414712393556614</v>
      </c>
      <c r="G1566" s="1100">
        <v>1.0182131812232318</v>
      </c>
      <c r="H1566" s="1100">
        <v>0.99912271844205092</v>
      </c>
      <c r="I1566" s="1100">
        <v>0.98988941544162379</v>
      </c>
      <c r="K1566">
        <v>1.2959899783273632</v>
      </c>
      <c r="L1566">
        <v>0</v>
      </c>
      <c r="M1566">
        <v>6.3384390750966977E-4</v>
      </c>
      <c r="N1566">
        <v>5.3213287040516331E-2</v>
      </c>
      <c r="O1566">
        <v>7.6910389567926311E-3</v>
      </c>
      <c r="P1566">
        <v>1.5662227651452518E-2</v>
      </c>
      <c r="Q1566">
        <v>4.3191416470873177E-4</v>
      </c>
      <c r="R1566">
        <v>6.3197190121655901E-4</v>
      </c>
      <c r="S1566">
        <v>5.9337227385646958E-2</v>
      </c>
      <c r="T1566">
        <v>1.0169075150445399</v>
      </c>
      <c r="U1566">
        <v>0</v>
      </c>
      <c r="V1566">
        <v>9.8454465330330573E-2</v>
      </c>
      <c r="W1566">
        <v>3.5596050289500636E-2</v>
      </c>
      <c r="X1566">
        <v>6.9781052845384155E-3</v>
      </c>
      <c r="Y1566">
        <v>1.7200191856302277E-3</v>
      </c>
    </row>
    <row r="1567" spans="1:25" x14ac:dyDescent="0.25">
      <c r="A1567" s="1096"/>
      <c r="B1567" s="1455">
        <v>1317</v>
      </c>
      <c r="C1567" s="1100">
        <v>0.97396345286291419</v>
      </c>
      <c r="D1567" s="1100">
        <v>0.9632831916762743</v>
      </c>
      <c r="E1567" s="1100">
        <v>0.99063388955249909</v>
      </c>
      <c r="F1567" s="1100">
        <v>0.98286635272917566</v>
      </c>
      <c r="G1567" s="1100">
        <v>1.0274488855044104</v>
      </c>
      <c r="H1567" s="1100">
        <v>0.99178554169749289</v>
      </c>
      <c r="I1567" s="1100">
        <v>1.010565211420821</v>
      </c>
      <c r="K1567">
        <v>1.3061504012372829</v>
      </c>
      <c r="L1567">
        <v>0</v>
      </c>
      <c r="M1567">
        <v>6.3342385551636579E-4</v>
      </c>
      <c r="N1567">
        <v>5.6618734281759002E-2</v>
      </c>
      <c r="O1567">
        <v>8.0871926383036148E-3</v>
      </c>
      <c r="P1567">
        <v>1.5962450099450985E-2</v>
      </c>
      <c r="Q1567">
        <v>4.6383005680204509E-4</v>
      </c>
      <c r="R1567">
        <v>6.3153924998727933E-4</v>
      </c>
      <c r="S1567">
        <v>6.3847801334520907E-2</v>
      </c>
      <c r="T1567">
        <v>1.0149656753226719</v>
      </c>
      <c r="U1567">
        <v>0</v>
      </c>
      <c r="V1567">
        <v>9.969908411423066E-2</v>
      </c>
      <c r="W1567">
        <v>3.7403060706754448E-2</v>
      </c>
      <c r="X1567">
        <v>7.3856156367107491E-3</v>
      </c>
      <c r="Y1567">
        <v>1.7188416516075674E-3</v>
      </c>
    </row>
    <row r="1568" spans="1:25" x14ac:dyDescent="0.25">
      <c r="A1568" s="1096"/>
      <c r="B1568" s="1455">
        <v>1318</v>
      </c>
      <c r="C1568" s="1100">
        <v>1.0177621219425188</v>
      </c>
      <c r="D1568" s="1100">
        <v>0.99756526642671584</v>
      </c>
      <c r="E1568" s="1100">
        <v>1.0097713103184374</v>
      </c>
      <c r="F1568" s="1100">
        <v>0.97998465020080672</v>
      </c>
      <c r="G1568" s="1100">
        <v>1.0173941167967022</v>
      </c>
      <c r="H1568" s="1100">
        <v>0.97289340626265042</v>
      </c>
      <c r="I1568" s="1100">
        <v>1.0121759546191698</v>
      </c>
      <c r="K1568">
        <v>1.2904769374519167</v>
      </c>
      <c r="L1568">
        <v>0</v>
      </c>
      <c r="M1568">
        <v>5.6353737038724054E-4</v>
      </c>
      <c r="N1568">
        <v>5.3367035808840488E-2</v>
      </c>
      <c r="O1568">
        <v>7.636284203758433E-3</v>
      </c>
      <c r="P1568">
        <v>1.6062225537030721E-2</v>
      </c>
      <c r="Q1568">
        <v>4.4647446625224811E-4</v>
      </c>
      <c r="R1568">
        <v>5.6182813734643078E-4</v>
      </c>
      <c r="S1568">
        <v>5.950219156664454E-2</v>
      </c>
      <c r="T1568">
        <v>1.0114317445249918</v>
      </c>
      <c r="U1568">
        <v>0</v>
      </c>
      <c r="V1568">
        <v>9.8139166102477082E-2</v>
      </c>
      <c r="W1568">
        <v>3.4856279602792202E-2</v>
      </c>
      <c r="X1568">
        <v>7.5081338889076326E-3</v>
      </c>
      <c r="Y1568">
        <v>1.5291109832612838E-3</v>
      </c>
    </row>
    <row r="1569" spans="1:25" x14ac:dyDescent="0.25">
      <c r="A1569" s="1096"/>
      <c r="B1569" s="1455">
        <v>1319</v>
      </c>
      <c r="C1569" s="1100">
        <v>0.96773381500093048</v>
      </c>
      <c r="D1569" s="1100">
        <v>0.96357746008967671</v>
      </c>
      <c r="E1569" s="1100">
        <v>1.0143446654072932</v>
      </c>
      <c r="F1569" s="1100">
        <v>1.022082206203492</v>
      </c>
      <c r="G1569" s="1100">
        <v>0.98287182050189292</v>
      </c>
      <c r="H1569" s="1100">
        <v>1.0270005218152256</v>
      </c>
      <c r="I1569" s="1100">
        <v>1.0188656740343094</v>
      </c>
      <c r="K1569">
        <v>1.3531713009708837</v>
      </c>
      <c r="L1569">
        <v>0</v>
      </c>
      <c r="M1569">
        <v>6.2836612649551794E-4</v>
      </c>
      <c r="N1569">
        <v>6.0343167823130178E-2</v>
      </c>
      <c r="O1569">
        <v>8.1443650581977268E-3</v>
      </c>
      <c r="P1569">
        <v>1.6796899336863381E-2</v>
      </c>
      <c r="Q1569">
        <v>4.7836014422042835E-4</v>
      </c>
      <c r="R1569">
        <v>6.2656067460877224E-4</v>
      </c>
      <c r="S1569">
        <v>6.5950052678307461E-2</v>
      </c>
      <c r="T1569">
        <v>1.0547427288804545</v>
      </c>
      <c r="U1569">
        <v>0</v>
      </c>
      <c r="V1569">
        <v>9.7733164570625503E-2</v>
      </c>
      <c r="W1569">
        <v>3.93067147152424E-2</v>
      </c>
      <c r="X1569">
        <v>7.9723616051129154E-3</v>
      </c>
      <c r="Y1569">
        <v>1.7052916106142036E-3</v>
      </c>
    </row>
    <row r="1570" spans="1:25" x14ac:dyDescent="0.25">
      <c r="A1570" s="1096"/>
      <c r="B1570" s="1455">
        <v>1320</v>
      </c>
      <c r="C1570" s="1100">
        <v>0.97290357421530971</v>
      </c>
      <c r="D1570" s="1100">
        <v>1.0134547664228977</v>
      </c>
      <c r="E1570" s="1100">
        <v>1.0118249886870707</v>
      </c>
      <c r="F1570" s="1100">
        <v>0.97967661366330538</v>
      </c>
      <c r="G1570" s="1100">
        <v>0.97532183322373311</v>
      </c>
      <c r="H1570" s="1100">
        <v>0.9844977591924553</v>
      </c>
      <c r="I1570" s="1100">
        <v>0.99704791324009479</v>
      </c>
      <c r="K1570">
        <v>1.2961034908097213</v>
      </c>
      <c r="L1570">
        <v>0</v>
      </c>
      <c r="M1570">
        <v>5.9026944456827112E-4</v>
      </c>
      <c r="N1570">
        <v>5.6248212544812617E-2</v>
      </c>
      <c r="O1570">
        <v>7.9385574547959307E-3</v>
      </c>
      <c r="P1570">
        <v>1.6091716030963446E-2</v>
      </c>
      <c r="Q1570">
        <v>4.6510105228545205E-4</v>
      </c>
      <c r="R1570">
        <v>5.8850023455449783E-4</v>
      </c>
      <c r="S1570">
        <v>6.1159515127913906E-2</v>
      </c>
      <c r="T1570">
        <v>1.0110545840039002</v>
      </c>
      <c r="U1570">
        <v>0</v>
      </c>
      <c r="V1570">
        <v>9.7228938304281157E-2</v>
      </c>
      <c r="W1570">
        <v>3.6693663432277632E-2</v>
      </c>
      <c r="X1570">
        <v>7.6232684290961708E-3</v>
      </c>
      <c r="Y1570">
        <v>1.601703639407161E-3</v>
      </c>
    </row>
    <row r="1571" spans="1:25" x14ac:dyDescent="0.25">
      <c r="A1571" s="1096"/>
      <c r="B1571" s="1455">
        <v>1321</v>
      </c>
      <c r="C1571" s="1100">
        <v>0.97319645434365609</v>
      </c>
      <c r="D1571" s="1100">
        <v>1.0028327216064234</v>
      </c>
      <c r="E1571" s="1100">
        <v>0.99387373752210539</v>
      </c>
      <c r="F1571" s="1100">
        <v>1.0443067137318784</v>
      </c>
      <c r="G1571" s="1100">
        <v>0.97931212859890027</v>
      </c>
      <c r="H1571" s="1100">
        <v>1.0074041021797346</v>
      </c>
      <c r="I1571" s="1100">
        <v>0.99786010047497675</v>
      </c>
      <c r="K1571">
        <v>1.3668444459834779</v>
      </c>
      <c r="L1571">
        <v>0</v>
      </c>
      <c r="M1571">
        <v>6.2938671572522497E-4</v>
      </c>
      <c r="N1571">
        <v>5.6814190214828961E-2</v>
      </c>
      <c r="O1571">
        <v>7.9651613960348422E-3</v>
      </c>
      <c r="P1571">
        <v>1.6808167194958295E-2</v>
      </c>
      <c r="Q1571">
        <v>4.5832769294609673E-4</v>
      </c>
      <c r="R1571">
        <v>6.2754315403183865E-4</v>
      </c>
      <c r="S1571">
        <v>6.2236705847902585E-2</v>
      </c>
      <c r="T1571">
        <v>1.0783111213143755</v>
      </c>
      <c r="U1571">
        <v>0</v>
      </c>
      <c r="V1571">
        <v>9.7394191272388825E-2</v>
      </c>
      <c r="W1571">
        <v>3.7459536564452924E-2</v>
      </c>
      <c r="X1571">
        <v>7.6909224515531891E-3</v>
      </c>
      <c r="Y1571">
        <v>1.7079655957295355E-3</v>
      </c>
    </row>
    <row r="1572" spans="1:25" x14ac:dyDescent="0.25">
      <c r="A1572" s="1096"/>
      <c r="B1572" s="1455">
        <v>1322</v>
      </c>
      <c r="C1572" s="1100">
        <v>0.99270104136558346</v>
      </c>
      <c r="D1572" s="1100">
        <v>0.99819932981786308</v>
      </c>
      <c r="E1572" s="1100">
        <v>1.0042493320197512</v>
      </c>
      <c r="F1572" s="1100">
        <v>0.97876133051448178</v>
      </c>
      <c r="G1572" s="1100">
        <v>1.0162341004012541</v>
      </c>
      <c r="H1572" s="1100">
        <v>0.99732127994634912</v>
      </c>
      <c r="I1572" s="1100">
        <v>1.0242385293666185</v>
      </c>
      <c r="K1572">
        <v>1.297268963562489</v>
      </c>
      <c r="L1572">
        <v>0</v>
      </c>
      <c r="M1572">
        <v>5.9894905827169681E-4</v>
      </c>
      <c r="N1572">
        <v>5.5786737471009359E-2</v>
      </c>
      <c r="O1572">
        <v>7.8257072780900903E-3</v>
      </c>
      <c r="P1572">
        <v>1.602977373592205E-2</v>
      </c>
      <c r="Q1572">
        <v>4.5502670084764856E-4</v>
      </c>
      <c r="R1572">
        <v>5.9717691586160405E-4</v>
      </c>
      <c r="S1572">
        <v>6.2474965946093787E-2</v>
      </c>
      <c r="T1572">
        <v>1.0103289128642354</v>
      </c>
      <c r="U1572">
        <v>0</v>
      </c>
      <c r="V1572">
        <v>9.8691650718525162E-2</v>
      </c>
      <c r="W1572">
        <v>3.6555808279763916E-2</v>
      </c>
      <c r="X1572">
        <v>7.4968340047521587E-3</v>
      </c>
      <c r="Y1572">
        <v>1.6253187056578799E-3</v>
      </c>
    </row>
    <row r="1573" spans="1:25" x14ac:dyDescent="0.25">
      <c r="A1573" s="1096"/>
      <c r="B1573" s="1455">
        <v>1323</v>
      </c>
      <c r="C1573" s="1100">
        <v>1.0114263284970839</v>
      </c>
      <c r="D1573" s="1100">
        <v>1.0042403138682889</v>
      </c>
      <c r="E1573" s="1100">
        <v>1.0062731348996925</v>
      </c>
      <c r="F1573" s="1100">
        <v>1.034938330518308</v>
      </c>
      <c r="G1573" s="1100">
        <v>0.96633371455106765</v>
      </c>
      <c r="H1573" s="1100">
        <v>1.0041645199463516</v>
      </c>
      <c r="I1573" s="1100">
        <v>0.99518204677504996</v>
      </c>
      <c r="K1573">
        <v>1.3490432379290631</v>
      </c>
      <c r="L1573">
        <v>0</v>
      </c>
      <c r="M1573">
        <v>5.8799156857086352E-4</v>
      </c>
      <c r="N1573">
        <v>5.5103014584299621E-2</v>
      </c>
      <c r="O1573">
        <v>7.6627999094335906E-3</v>
      </c>
      <c r="P1573">
        <v>1.6768725955538456E-2</v>
      </c>
      <c r="Q1573">
        <v>4.4645910027343774E-4</v>
      </c>
      <c r="R1573">
        <v>5.862637026280218E-4</v>
      </c>
      <c r="S1573">
        <v>5.9593461565595161E-2</v>
      </c>
      <c r="T1573">
        <v>1.0682557510886235</v>
      </c>
      <c r="U1573">
        <v>0</v>
      </c>
      <c r="V1573">
        <v>9.5817560690077852E-2</v>
      </c>
      <c r="W1573">
        <v>3.6064553905658547E-2</v>
      </c>
      <c r="X1573">
        <v>7.7370224587289971E-3</v>
      </c>
      <c r="Y1573">
        <v>1.5956165367758443E-3</v>
      </c>
    </row>
    <row r="1574" spans="1:25" x14ac:dyDescent="0.25">
      <c r="A1574" s="1096"/>
      <c r="B1574" s="1455">
        <v>1324</v>
      </c>
      <c r="C1574" s="1100">
        <v>1.0004223267401184</v>
      </c>
      <c r="D1574" s="1100">
        <v>1.0343029181006864</v>
      </c>
      <c r="E1574" s="1100">
        <v>0.99834299555007056</v>
      </c>
      <c r="F1574" s="1100">
        <v>1.0309240600066005</v>
      </c>
      <c r="G1574" s="1100">
        <v>1.0286955454244007</v>
      </c>
      <c r="H1574" s="1100">
        <v>0.96181445018242928</v>
      </c>
      <c r="I1574" s="1100">
        <v>1.0017743120508782</v>
      </c>
      <c r="K1574">
        <v>1.3424940269343055</v>
      </c>
      <c r="L1574">
        <v>0</v>
      </c>
      <c r="M1574">
        <v>5.7204587608119151E-4</v>
      </c>
      <c r="N1574">
        <v>5.2332972900695177E-2</v>
      </c>
      <c r="O1574">
        <v>7.6542981594984478E-3</v>
      </c>
      <c r="P1574">
        <v>1.6645448765978871E-2</v>
      </c>
      <c r="Q1574">
        <v>4.4242751729597755E-4</v>
      </c>
      <c r="R1574">
        <v>5.7029085078788837E-4</v>
      </c>
      <c r="S1574">
        <v>5.8412453284486833E-2</v>
      </c>
      <c r="T1574">
        <v>1.0643550293014914</v>
      </c>
      <c r="U1574">
        <v>0</v>
      </c>
      <c r="V1574">
        <v>9.9095171342364646E-2</v>
      </c>
      <c r="W1574">
        <v>3.4413102269692214E-2</v>
      </c>
      <c r="X1574">
        <v>7.5927347185791895E-3</v>
      </c>
      <c r="Y1574">
        <v>1.5521436995161954E-3</v>
      </c>
    </row>
    <row r="1575" spans="1:25" x14ac:dyDescent="0.25">
      <c r="A1575" s="1096"/>
      <c r="B1575" s="1455">
        <v>1325</v>
      </c>
      <c r="C1575" s="1100">
        <v>1.0030804666467181</v>
      </c>
      <c r="D1575" s="1100">
        <v>0.99197334038803275</v>
      </c>
      <c r="E1575" s="1100">
        <v>1.0040056259534655</v>
      </c>
      <c r="F1575" s="1100">
        <v>0.98884882174271005</v>
      </c>
      <c r="G1575" s="1100">
        <v>0.98290629727446033</v>
      </c>
      <c r="H1575" s="1100">
        <v>0.99415468862370493</v>
      </c>
      <c r="I1575" s="1100">
        <v>1.0411235084098245</v>
      </c>
      <c r="K1575">
        <v>1.3053279848537485</v>
      </c>
      <c r="L1575">
        <v>0</v>
      </c>
      <c r="M1575">
        <v>5.9264969406662795E-4</v>
      </c>
      <c r="N1575">
        <v>5.5158870902001618E-2</v>
      </c>
      <c r="O1575">
        <v>7.7640775315259382E-3</v>
      </c>
      <c r="P1575">
        <v>1.6150419644713233E-2</v>
      </c>
      <c r="Q1575">
        <v>4.513329081605642E-4</v>
      </c>
      <c r="R1575">
        <v>5.9089060464148375E-4</v>
      </c>
      <c r="S1575">
        <v>6.2958217719055978E-2</v>
      </c>
      <c r="T1575">
        <v>1.0207488951759429</v>
      </c>
      <c r="U1575">
        <v>0</v>
      </c>
      <c r="V1575">
        <v>9.6820694137332158E-2</v>
      </c>
      <c r="W1575">
        <v>3.6149599985816669E-2</v>
      </c>
      <c r="X1575">
        <v>7.5194264998238898E-3</v>
      </c>
      <c r="Y1575">
        <v>1.6082094387986487E-3</v>
      </c>
    </row>
    <row r="1576" spans="1:25" x14ac:dyDescent="0.25">
      <c r="A1576" s="1096"/>
      <c r="B1576" s="1455">
        <v>1326</v>
      </c>
      <c r="C1576" s="1100">
        <v>0.96842401311302184</v>
      </c>
      <c r="D1576" s="1100">
        <v>1.0178611988620931</v>
      </c>
      <c r="E1576" s="1100">
        <v>1.0100567558807212</v>
      </c>
      <c r="F1576" s="1100">
        <v>1.00408951034037</v>
      </c>
      <c r="G1576" s="1100">
        <v>0.99880608245946145</v>
      </c>
      <c r="H1576" s="1100">
        <v>1.0119159068597692</v>
      </c>
      <c r="I1576" s="1100">
        <v>0.99316797482813512</v>
      </c>
      <c r="K1576">
        <v>1.3266611085516335</v>
      </c>
      <c r="L1576">
        <v>0</v>
      </c>
      <c r="M1576">
        <v>6.1069755665856863E-4</v>
      </c>
      <c r="N1576">
        <v>5.7889760172449983E-2</v>
      </c>
      <c r="O1576">
        <v>7.9610040842739253E-3</v>
      </c>
      <c r="P1576">
        <v>1.644518927595591E-2</v>
      </c>
      <c r="Q1576">
        <v>4.6559286745936624E-4</v>
      </c>
      <c r="R1576">
        <v>6.0891671388667149E-4</v>
      </c>
      <c r="S1576">
        <v>6.1911848941061755E-2</v>
      </c>
      <c r="T1576">
        <v>1.0363016680315738</v>
      </c>
      <c r="U1576">
        <v>0</v>
      </c>
      <c r="V1576">
        <v>9.8480969594170575E-2</v>
      </c>
      <c r="W1576">
        <v>3.7803899000600244E-2</v>
      </c>
      <c r="X1576">
        <v>7.7456868609997558E-3</v>
      </c>
      <c r="Y1576">
        <v>1.6572705658587348E-3</v>
      </c>
    </row>
    <row r="1577" spans="1:25" x14ac:dyDescent="0.25">
      <c r="A1577" s="1096"/>
      <c r="B1577" s="1455">
        <v>1327</v>
      </c>
      <c r="C1577" s="1100">
        <v>1.0025421427352743</v>
      </c>
      <c r="D1577" s="1100">
        <v>0.98851027691773197</v>
      </c>
      <c r="E1577" s="1100">
        <v>0.97564075488502056</v>
      </c>
      <c r="F1577" s="1100">
        <v>0.99788573636399303</v>
      </c>
      <c r="G1577" s="1100">
        <v>0.9890535694167476</v>
      </c>
      <c r="H1577" s="1100">
        <v>0.97523614740114284</v>
      </c>
      <c r="I1577" s="1100">
        <v>0.97938847083294966</v>
      </c>
      <c r="K1577">
        <v>1.3076520156916487</v>
      </c>
      <c r="L1577">
        <v>0</v>
      </c>
      <c r="M1577">
        <v>6.1774114862503469E-4</v>
      </c>
      <c r="N1577">
        <v>5.2765909920128945E-2</v>
      </c>
      <c r="O1577">
        <v>7.7721549204068183E-3</v>
      </c>
      <c r="P1577">
        <v>1.5893132109333921E-2</v>
      </c>
      <c r="Q1577">
        <v>4.390316696677988E-4</v>
      </c>
      <c r="R1577">
        <v>6.1587201409997949E-4</v>
      </c>
      <c r="S1577">
        <v>5.8774366929300187E-2</v>
      </c>
      <c r="T1577">
        <v>1.0309284409437105</v>
      </c>
      <c r="U1577">
        <v>0</v>
      </c>
      <c r="V1577">
        <v>9.7099962021115344E-2</v>
      </c>
      <c r="W1577">
        <v>3.5174055215763736E-2</v>
      </c>
      <c r="X1577">
        <v>7.1306304965196706E-3</v>
      </c>
      <c r="Y1577">
        <v>1.6762006002252598E-3</v>
      </c>
    </row>
    <row r="1578" spans="1:25" x14ac:dyDescent="0.25">
      <c r="A1578" s="1096"/>
      <c r="B1578" s="1455">
        <v>1328</v>
      </c>
      <c r="C1578" s="1100">
        <v>0.9668754629417825</v>
      </c>
      <c r="D1578" s="1100">
        <v>0.99698130326610879</v>
      </c>
      <c r="E1578" s="1100">
        <v>0.98889998672767143</v>
      </c>
      <c r="F1578" s="1100">
        <v>1.0230028155349855</v>
      </c>
      <c r="G1578" s="1100">
        <v>1.004462354525244</v>
      </c>
      <c r="H1578" s="1100">
        <v>1.0265862327095701</v>
      </c>
      <c r="I1578" s="1100">
        <v>1.0002379138822834</v>
      </c>
      <c r="K1578">
        <v>1.3497152865874855</v>
      </c>
      <c r="L1578">
        <v>0</v>
      </c>
      <c r="M1578">
        <v>6.537782884243064E-4</v>
      </c>
      <c r="N1578">
        <v>5.8138444232140055E-2</v>
      </c>
      <c r="O1578">
        <v>8.0347600863858778E-3</v>
      </c>
      <c r="P1578">
        <v>1.6486936694758866E-2</v>
      </c>
      <c r="Q1578">
        <v>4.6001583734451635E-4</v>
      </c>
      <c r="R1578">
        <v>6.5189906301301099E-4</v>
      </c>
      <c r="S1578">
        <v>6.3591583940299748E-2</v>
      </c>
      <c r="T1578">
        <v>1.0564662890128682</v>
      </c>
      <c r="U1578">
        <v>0</v>
      </c>
      <c r="V1578">
        <v>9.8771690782521487E-2</v>
      </c>
      <c r="W1578">
        <v>3.8446922510470147E-2</v>
      </c>
      <c r="X1578">
        <v>7.5462683650537581E-3</v>
      </c>
      <c r="Y1578">
        <v>1.7742543510530493E-3</v>
      </c>
    </row>
    <row r="1579" spans="1:25" x14ac:dyDescent="0.25">
      <c r="A1579" s="1096"/>
      <c r="B1579" s="1455">
        <v>1329</v>
      </c>
      <c r="C1579" s="1100">
        <v>1.0012447318392614</v>
      </c>
      <c r="D1579" s="1100">
        <v>1.0235597125733007</v>
      </c>
      <c r="E1579" s="1100">
        <v>0.97953817450463887</v>
      </c>
      <c r="F1579" s="1100">
        <v>0.98909050109358698</v>
      </c>
      <c r="G1579" s="1100">
        <v>0.9971982027049483</v>
      </c>
      <c r="H1579" s="1100">
        <v>1.0172353263914471</v>
      </c>
      <c r="I1579" s="1100">
        <v>0.9657194116643395</v>
      </c>
      <c r="K1579">
        <v>1.3010412537021407</v>
      </c>
      <c r="L1579">
        <v>0</v>
      </c>
      <c r="M1579">
        <v>6.3114497576260075E-4</v>
      </c>
      <c r="N1579">
        <v>5.4557275038288416E-2</v>
      </c>
      <c r="O1579">
        <v>7.6754601080693732E-3</v>
      </c>
      <c r="P1579">
        <v>1.5814551119323811E-2</v>
      </c>
      <c r="Q1579">
        <v>4.352928295418902E-4</v>
      </c>
      <c r="R1579">
        <v>6.2931413103449788E-4</v>
      </c>
      <c r="S1579">
        <v>5.8180377148607777E-2</v>
      </c>
      <c r="T1579">
        <v>1.021724647574203</v>
      </c>
      <c r="U1579">
        <v>0</v>
      </c>
      <c r="V1579">
        <v>9.7530234599720059E-2</v>
      </c>
      <c r="W1579">
        <v>3.6282539435823276E-2</v>
      </c>
      <c r="X1579">
        <v>7.1299210819614238E-3</v>
      </c>
      <c r="Y1579">
        <v>1.7127856113283624E-3</v>
      </c>
    </row>
    <row r="1580" spans="1:25" x14ac:dyDescent="0.25">
      <c r="A1580" s="1096"/>
      <c r="B1580" s="1455">
        <v>1330</v>
      </c>
      <c r="C1580" s="1100">
        <v>0.98018825991350211</v>
      </c>
      <c r="D1580" s="1100">
        <v>1.0029435928652153</v>
      </c>
      <c r="E1580" s="1100">
        <v>0.96963855564614454</v>
      </c>
      <c r="F1580" s="1100">
        <v>0.97182415187171922</v>
      </c>
      <c r="G1580" s="1100">
        <v>0.99061245945759324</v>
      </c>
      <c r="H1580" s="1100">
        <v>0.98895478878035237</v>
      </c>
      <c r="I1580" s="1100">
        <v>0.97092514457502643</v>
      </c>
      <c r="K1580">
        <v>1.2842830089202781</v>
      </c>
      <c r="L1580">
        <v>0</v>
      </c>
      <c r="M1580">
        <v>6.4495879208039677E-4</v>
      </c>
      <c r="N1580">
        <v>5.4101066191027704E-2</v>
      </c>
      <c r="O1580">
        <v>7.9019507436497733E-3</v>
      </c>
      <c r="P1580">
        <v>1.5482491354089327E-2</v>
      </c>
      <c r="Q1580">
        <v>4.4363761971260467E-4</v>
      </c>
      <c r="R1580">
        <v>6.4303437435689055E-4</v>
      </c>
      <c r="S1580">
        <v>5.9540717244337162E-2</v>
      </c>
      <c r="T1580">
        <v>1.0041822830202967</v>
      </c>
      <c r="U1580">
        <v>0</v>
      </c>
      <c r="V1580">
        <v>9.7732248176531838E-2</v>
      </c>
      <c r="W1580">
        <v>3.6195789274913473E-2</v>
      </c>
      <c r="X1580">
        <v>6.9546221226684003E-3</v>
      </c>
      <c r="Y1580">
        <v>1.7501275907749192E-3</v>
      </c>
    </row>
    <row r="1581" spans="1:25" x14ac:dyDescent="0.25">
      <c r="A1581" s="1096"/>
      <c r="B1581" s="1455">
        <v>1331</v>
      </c>
      <c r="C1581" s="1100">
        <v>0.97910514333209331</v>
      </c>
      <c r="D1581" s="1100">
        <v>0.96927746963601957</v>
      </c>
      <c r="E1581" s="1100">
        <v>0.99119559781616251</v>
      </c>
      <c r="F1581" s="1100">
        <v>0.97250710896343551</v>
      </c>
      <c r="G1581" s="1100">
        <v>1.0054239578171174</v>
      </c>
      <c r="H1581" s="1100">
        <v>1.0037605959944056</v>
      </c>
      <c r="I1581" s="1100">
        <v>1.0026035791695209</v>
      </c>
      <c r="K1581">
        <v>1.2937291136355396</v>
      </c>
      <c r="L1581">
        <v>0</v>
      </c>
      <c r="M1581">
        <v>6.3538529146157181E-4</v>
      </c>
      <c r="N1581">
        <v>5.6892611241412087E-2</v>
      </c>
      <c r="O1581">
        <v>8.024928445828982E-3</v>
      </c>
      <c r="P1581">
        <v>1.5798755679118356E-2</v>
      </c>
      <c r="Q1581">
        <v>4.6052023379191076E-4</v>
      </c>
      <c r="R1581">
        <v>6.3351740345908537E-4</v>
      </c>
      <c r="S1581">
        <v>6.3181871205283735E-2</v>
      </c>
      <c r="T1581">
        <v>1.0042517024530373</v>
      </c>
      <c r="U1581">
        <v>0</v>
      </c>
      <c r="V1581">
        <v>9.850067865480315E-2</v>
      </c>
      <c r="W1581">
        <v>3.7571351689641659E-2</v>
      </c>
      <c r="X1581">
        <v>7.3243363873648337E-3</v>
      </c>
      <c r="Y1581">
        <v>1.7242255332597066E-3</v>
      </c>
    </row>
    <row r="1582" spans="1:25" x14ac:dyDescent="0.25">
      <c r="A1582" s="1096"/>
      <c r="B1582" s="1455">
        <v>1332</v>
      </c>
      <c r="C1582" s="1100">
        <v>0.98483102196385741</v>
      </c>
      <c r="D1582" s="1100">
        <v>1.0108750497073533</v>
      </c>
      <c r="E1582" s="1100">
        <v>1.0099397738962996</v>
      </c>
      <c r="F1582" s="1100">
        <v>0.95954760015349638</v>
      </c>
      <c r="G1582" s="1100">
        <v>1.0120047135324064</v>
      </c>
      <c r="H1582" s="1100">
        <v>0.98429605146179111</v>
      </c>
      <c r="I1582" s="1100">
        <v>0.96987818321828589</v>
      </c>
      <c r="K1582">
        <v>1.2727799741731298</v>
      </c>
      <c r="L1582">
        <v>0</v>
      </c>
      <c r="M1582">
        <v>5.8588625759722326E-4</v>
      </c>
      <c r="N1582">
        <v>5.5513659589980648E-2</v>
      </c>
      <c r="O1582">
        <v>7.8499429433868187E-3</v>
      </c>
      <c r="P1582">
        <v>1.577292550735826E-2</v>
      </c>
      <c r="Q1582">
        <v>4.5904386305093678E-4</v>
      </c>
      <c r="R1582">
        <v>5.8412982541099711E-4</v>
      </c>
      <c r="S1582">
        <v>5.8845050838808192E-2</v>
      </c>
      <c r="T1582">
        <v>0.99033411823765938</v>
      </c>
      <c r="U1582">
        <v>0</v>
      </c>
      <c r="V1582">
        <v>9.8692981321464188E-2</v>
      </c>
      <c r="W1582">
        <v>3.6254728747049235E-2</v>
      </c>
      <c r="X1582">
        <v>7.4694707301345316E-3</v>
      </c>
      <c r="Y1582">
        <v>1.589808826423539E-3</v>
      </c>
    </row>
    <row r="1583" spans="1:25" x14ac:dyDescent="0.25">
      <c r="A1583" s="1096"/>
      <c r="B1583" s="1455">
        <v>1333</v>
      </c>
      <c r="C1583" s="1100">
        <v>1.0026959159729192</v>
      </c>
      <c r="D1583" s="1100">
        <v>1.0230508965738709</v>
      </c>
      <c r="E1583" s="1100">
        <v>0.9872526812655571</v>
      </c>
      <c r="F1583" s="1100">
        <v>0.96690065920309265</v>
      </c>
      <c r="G1583" s="1100">
        <v>1.0005403156451833</v>
      </c>
      <c r="H1583" s="1100">
        <v>1.0025636776450793</v>
      </c>
      <c r="I1583" s="1100">
        <v>1.0330958159074688</v>
      </c>
      <c r="K1583">
        <v>1.2804214816693271</v>
      </c>
      <c r="L1583">
        <v>0</v>
      </c>
      <c r="M1583">
        <v>6.1142817998233753E-4</v>
      </c>
      <c r="N1583">
        <v>5.4098477737051398E-2</v>
      </c>
      <c r="O1583">
        <v>7.6677425892666719E-3</v>
      </c>
      <c r="P1583">
        <v>1.5644127067706581E-2</v>
      </c>
      <c r="Q1583">
        <v>4.3827177741855478E-4</v>
      </c>
      <c r="R1583">
        <v>6.096285745187586E-4</v>
      </c>
      <c r="S1583">
        <v>6.1716366550591546E-2</v>
      </c>
      <c r="T1583">
        <v>0.99857694964876331</v>
      </c>
      <c r="U1583">
        <v>0</v>
      </c>
      <c r="V1583">
        <v>9.7664625609582223E-2</v>
      </c>
      <c r="W1583">
        <v>3.5810670410699616E-2</v>
      </c>
      <c r="X1583">
        <v>7.1468418678752284E-3</v>
      </c>
      <c r="Y1583">
        <v>1.659208015834481E-3</v>
      </c>
    </row>
    <row r="1584" spans="1:25" x14ac:dyDescent="0.25">
      <c r="A1584" s="1096"/>
      <c r="B1584" s="1455">
        <v>1334</v>
      </c>
      <c r="C1584" s="1100">
        <v>1.0043785037612352</v>
      </c>
      <c r="D1584" s="1100">
        <v>0.9847620553117209</v>
      </c>
      <c r="E1584" s="1100">
        <v>1.0355815006789331</v>
      </c>
      <c r="F1584" s="1100">
        <v>0.98587799209899052</v>
      </c>
      <c r="G1584" s="1100">
        <v>0.98841473078142739</v>
      </c>
      <c r="H1584" s="1100">
        <v>1.0340789876639898</v>
      </c>
      <c r="I1584" s="1100">
        <v>1.0041155873869756</v>
      </c>
      <c r="K1584">
        <v>1.3075798148241105</v>
      </c>
      <c r="L1584">
        <v>0</v>
      </c>
      <c r="M1584">
        <v>5.7819212133125423E-4</v>
      </c>
      <c r="N1584">
        <v>5.9198387339849827E-2</v>
      </c>
      <c r="O1584">
        <v>7.7844946454132778E-3</v>
      </c>
      <c r="P1584">
        <v>1.646525597689491E-2</v>
      </c>
      <c r="Q1584">
        <v>4.6695205598725359E-4</v>
      </c>
      <c r="R1584">
        <v>5.7654220365839363E-4</v>
      </c>
      <c r="S1584">
        <v>6.2138006003685346E-2</v>
      </c>
      <c r="T1584">
        <v>1.016773933862239</v>
      </c>
      <c r="U1584">
        <v>0</v>
      </c>
      <c r="V1584">
        <v>9.7090587243964951E-2</v>
      </c>
      <c r="W1584">
        <v>3.808671145769519E-2</v>
      </c>
      <c r="X1584">
        <v>8.0079783347794063E-3</v>
      </c>
      <c r="Y1584">
        <v>1.5691578212717909E-3</v>
      </c>
    </row>
    <row r="1585" spans="1:25" x14ac:dyDescent="0.25">
      <c r="A1585" s="1096"/>
      <c r="B1585" s="1455">
        <v>1335</v>
      </c>
      <c r="C1585" s="1100">
        <v>1.0219303755837883</v>
      </c>
      <c r="D1585" s="1100">
        <v>1.007227464884102</v>
      </c>
      <c r="E1585" s="1100">
        <v>1.0003784338003412</v>
      </c>
      <c r="F1585" s="1100">
        <v>0.9649498180026439</v>
      </c>
      <c r="G1585" s="1100">
        <v>1.0177126853656822</v>
      </c>
      <c r="H1585" s="1100">
        <v>0.96721496229461179</v>
      </c>
      <c r="I1585" s="1100">
        <v>1.0088444417244185</v>
      </c>
      <c r="K1585">
        <v>1.2717968479379034</v>
      </c>
      <c r="L1585">
        <v>0</v>
      </c>
      <c r="M1585">
        <v>5.6676007441453869E-4</v>
      </c>
      <c r="N1585">
        <v>5.2170148959072044E-2</v>
      </c>
      <c r="O1585">
        <v>7.5736193352262072E-3</v>
      </c>
      <c r="P1585">
        <v>1.5728642888023822E-2</v>
      </c>
      <c r="Q1585">
        <v>4.3866107694392402E-4</v>
      </c>
      <c r="R1585">
        <v>5.6503097461361442E-4</v>
      </c>
      <c r="S1585">
        <v>5.8579259812419737E-2</v>
      </c>
      <c r="T1585">
        <v>0.99618286518307719</v>
      </c>
      <c r="U1585">
        <v>0</v>
      </c>
      <c r="V1585">
        <v>9.8044766730994146E-2</v>
      </c>
      <c r="W1585">
        <v>3.4264534879979429E-2</v>
      </c>
      <c r="X1585">
        <v>7.2782501214799962E-3</v>
      </c>
      <c r="Y1585">
        <v>1.5378280504875364E-3</v>
      </c>
    </row>
    <row r="1586" spans="1:25" x14ac:dyDescent="0.25">
      <c r="A1586" s="1096"/>
      <c r="B1586" s="1455">
        <v>1336</v>
      </c>
      <c r="C1586" s="1100">
        <v>1.0152527325869782</v>
      </c>
      <c r="D1586" s="1100">
        <v>1.014650971694145</v>
      </c>
      <c r="E1586" s="1100">
        <v>1.0078770480340273</v>
      </c>
      <c r="F1586" s="1100">
        <v>1.0087670150682657</v>
      </c>
      <c r="G1586" s="1100">
        <v>1.0047606556383892</v>
      </c>
      <c r="H1586" s="1100">
        <v>1.0163046713926824</v>
      </c>
      <c r="I1586" s="1100">
        <v>1.0273257869703039</v>
      </c>
      <c r="K1586">
        <v>1.3255009521806995</v>
      </c>
      <c r="L1586">
        <v>0</v>
      </c>
      <c r="M1586">
        <v>5.8845349364148507E-4</v>
      </c>
      <c r="N1586">
        <v>5.5415989493824355E-2</v>
      </c>
      <c r="O1586">
        <v>7.602877830886633E-3</v>
      </c>
      <c r="P1586">
        <v>1.6465436257001035E-2</v>
      </c>
      <c r="Q1586">
        <v>4.436797941965591E-4</v>
      </c>
      <c r="R1586">
        <v>5.867449265305664E-4</v>
      </c>
      <c r="S1586">
        <v>6.132327751734349E-2</v>
      </c>
      <c r="T1586">
        <v>1.0411940928907613</v>
      </c>
      <c r="U1586">
        <v>0</v>
      </c>
      <c r="V1586">
        <v>9.7586042290551261E-2</v>
      </c>
      <c r="W1586">
        <v>3.6235027805830738E-2</v>
      </c>
      <c r="X1586">
        <v>7.6393105978105474E-3</v>
      </c>
      <c r="Y1586">
        <v>1.5969262696031541E-3</v>
      </c>
    </row>
    <row r="1587" spans="1:25" x14ac:dyDescent="0.25">
      <c r="A1587" s="1096"/>
      <c r="B1587" s="1455">
        <v>1337</v>
      </c>
      <c r="C1587" s="1100">
        <v>0.97591554337665953</v>
      </c>
      <c r="D1587" s="1100">
        <v>1.0061675620588519</v>
      </c>
      <c r="E1587" s="1100">
        <v>1.022892745268535</v>
      </c>
      <c r="F1587" s="1100">
        <v>0.98938156185779436</v>
      </c>
      <c r="G1587" s="1100">
        <v>1.031536603353475</v>
      </c>
      <c r="H1587" s="1100">
        <v>1.0205420947285051</v>
      </c>
      <c r="I1587" s="1100">
        <v>0.97768344975784283</v>
      </c>
      <c r="K1587">
        <v>1.3131513821918157</v>
      </c>
      <c r="L1587">
        <v>0</v>
      </c>
      <c r="M1587">
        <v>5.9783402552231126E-4</v>
      </c>
      <c r="N1587">
        <v>5.890994866002762E-2</v>
      </c>
      <c r="O1587">
        <v>7.9397186390462258E-3</v>
      </c>
      <c r="P1587">
        <v>1.6393989650582697E-2</v>
      </c>
      <c r="Q1587">
        <v>4.7032311715014313E-4</v>
      </c>
      <c r="R1587">
        <v>5.9610542943938475E-4</v>
      </c>
      <c r="S1587">
        <v>6.1129839889315772E-2</v>
      </c>
      <c r="T1587">
        <v>1.0207500849789264</v>
      </c>
      <c r="U1587">
        <v>0</v>
      </c>
      <c r="V1587">
        <v>9.9882673665478691E-2</v>
      </c>
      <c r="W1587">
        <v>3.8181499299282218E-2</v>
      </c>
      <c r="X1587">
        <v>7.8726304152571553E-3</v>
      </c>
      <c r="Y1587">
        <v>1.6224024728320029E-3</v>
      </c>
    </row>
    <row r="1588" spans="1:25" x14ac:dyDescent="0.25">
      <c r="A1588" s="1096"/>
      <c r="B1588" s="1455">
        <v>1338</v>
      </c>
      <c r="C1588" s="1100">
        <v>1.0182158014312606</v>
      </c>
      <c r="D1588" s="1100">
        <v>0.98138849106926684</v>
      </c>
      <c r="E1588" s="1100">
        <v>1.0145480646795291</v>
      </c>
      <c r="F1588" s="1100">
        <v>0.9686912146880281</v>
      </c>
      <c r="G1588" s="1100">
        <v>0.99791080664619092</v>
      </c>
      <c r="H1588" s="1100">
        <v>0.9769533093245546</v>
      </c>
      <c r="I1588" s="1100">
        <v>1.0089102248353632</v>
      </c>
      <c r="K1588">
        <v>1.2793494744557585</v>
      </c>
      <c r="L1588">
        <v>0</v>
      </c>
      <c r="M1588">
        <v>5.6372412491381035E-4</v>
      </c>
      <c r="N1588">
        <v>5.4160721993416233E-2</v>
      </c>
      <c r="O1588">
        <v>7.6841243351458378E-3</v>
      </c>
      <c r="P1588">
        <v>1.5949289088946047E-2</v>
      </c>
      <c r="Q1588">
        <v>4.5141940769198542E-4</v>
      </c>
      <c r="R1588">
        <v>5.6202143081401955E-4</v>
      </c>
      <c r="S1588">
        <v>5.993647254223524E-2</v>
      </c>
      <c r="T1588">
        <v>0.9996398541805056</v>
      </c>
      <c r="U1588">
        <v>0</v>
      </c>
      <c r="V1588">
        <v>9.7191030673878451E-2</v>
      </c>
      <c r="W1588">
        <v>3.5275337631170411E-2</v>
      </c>
      <c r="X1588">
        <v>7.5332902325070481E-3</v>
      </c>
      <c r="Y1588">
        <v>1.5296370643608863E-3</v>
      </c>
    </row>
    <row r="1589" spans="1:25" x14ac:dyDescent="0.25">
      <c r="A1589" s="1096"/>
      <c r="B1589" s="1455">
        <v>1339</v>
      </c>
      <c r="C1589" s="1100">
        <v>0.99844350152857431</v>
      </c>
      <c r="D1589" s="1100">
        <v>1.0160444015688188</v>
      </c>
      <c r="E1589" s="1100">
        <v>1.0230988123225808</v>
      </c>
      <c r="F1589" s="1100">
        <v>1.047183197575706</v>
      </c>
      <c r="G1589" s="1100">
        <v>1.0105318957669589</v>
      </c>
      <c r="H1589" s="1100">
        <v>0.97670435264579725</v>
      </c>
      <c r="I1589" s="1100">
        <v>1.0291159058433037</v>
      </c>
      <c r="K1589">
        <v>1.3653087753226179</v>
      </c>
      <c r="L1589">
        <v>0</v>
      </c>
      <c r="M1589">
        <v>5.5682449163695611E-4</v>
      </c>
      <c r="N1589">
        <v>5.489587854713486E-2</v>
      </c>
      <c r="O1589">
        <v>7.7303603845939942E-3</v>
      </c>
      <c r="P1589">
        <v>1.7202556275999724E-2</v>
      </c>
      <c r="Q1589">
        <v>4.5801507986651985E-4</v>
      </c>
      <c r="R1589">
        <v>5.5514220876018471E-4</v>
      </c>
      <c r="S1589">
        <v>6.1194963039728767E-2</v>
      </c>
      <c r="T1589">
        <v>1.0803780564504482</v>
      </c>
      <c r="U1589">
        <v>0</v>
      </c>
      <c r="V1589">
        <v>9.8293418644290101E-2</v>
      </c>
      <c r="W1589">
        <v>3.5575567633646978E-2</v>
      </c>
      <c r="X1589">
        <v>8.0707274601204276E-3</v>
      </c>
      <c r="Y1589">
        <v>1.5109140896652886E-3</v>
      </c>
    </row>
    <row r="1590" spans="1:25" x14ac:dyDescent="0.25">
      <c r="A1590" s="1096"/>
      <c r="B1590" s="1455">
        <v>1340</v>
      </c>
      <c r="C1590" s="1100">
        <v>0.99904676374536161</v>
      </c>
      <c r="D1590" s="1100">
        <v>1.0021786742994623</v>
      </c>
      <c r="E1590" s="1100">
        <v>0.98371376743399075</v>
      </c>
      <c r="F1590" s="1100">
        <v>0.99338900537874031</v>
      </c>
      <c r="G1590" s="1100">
        <v>1.0003070316554294</v>
      </c>
      <c r="H1590" s="1100">
        <v>0.98115281122434084</v>
      </c>
      <c r="I1590" s="1100">
        <v>1.0004527085351096</v>
      </c>
      <c r="K1590">
        <v>1.3056182525536395</v>
      </c>
      <c r="L1590">
        <v>0</v>
      </c>
      <c r="M1590">
        <v>6.0997946527818335E-4</v>
      </c>
      <c r="N1590">
        <v>5.3392281136470279E-2</v>
      </c>
      <c r="O1590">
        <v>7.7585983760993741E-3</v>
      </c>
      <c r="P1590">
        <v>1.5950115848906144E-2</v>
      </c>
      <c r="Q1590">
        <v>4.4187748470216986E-4</v>
      </c>
      <c r="R1590">
        <v>6.0814494557428654E-4</v>
      </c>
      <c r="S1590">
        <v>5.9993347375051971E-2</v>
      </c>
      <c r="T1590">
        <v>1.0260392347936313</v>
      </c>
      <c r="U1590">
        <v>0</v>
      </c>
      <c r="V1590">
        <v>9.7739674592983675E-2</v>
      </c>
      <c r="W1590">
        <v>3.54184780474813E-2</v>
      </c>
      <c r="X1590">
        <v>7.2313093510894006E-3</v>
      </c>
      <c r="Y1590">
        <v>1.6551700669257779E-3</v>
      </c>
    </row>
    <row r="1591" spans="1:25" x14ac:dyDescent="0.25">
      <c r="A1591" s="1096"/>
      <c r="B1591" s="1455">
        <v>1341</v>
      </c>
      <c r="C1591" s="1100">
        <v>1.0119708949089066</v>
      </c>
      <c r="D1591" s="1100">
        <v>1.029911279417794</v>
      </c>
      <c r="E1591" s="1100">
        <v>0.97743918083854797</v>
      </c>
      <c r="F1591" s="1100">
        <v>0.98557788731780127</v>
      </c>
      <c r="G1591" s="1100">
        <v>0.98834331785489515</v>
      </c>
      <c r="H1591" s="1100">
        <v>0.97172282303901236</v>
      </c>
      <c r="I1591" s="1100">
        <v>0.99104441216957073</v>
      </c>
      <c r="K1591">
        <v>1.2904260373684804</v>
      </c>
      <c r="L1591">
        <v>0</v>
      </c>
      <c r="M1591">
        <v>5.9762969358767245E-4</v>
      </c>
      <c r="N1591">
        <v>5.1326078656572093E-2</v>
      </c>
      <c r="O1591">
        <v>7.5748360895345522E-3</v>
      </c>
      <c r="P1591">
        <v>1.5723509876440028E-2</v>
      </c>
      <c r="Q1591">
        <v>4.286699347875229E-4</v>
      </c>
      <c r="R1591">
        <v>5.9581487347918976E-4</v>
      </c>
      <c r="S1591">
        <v>5.7531745588433908E-2</v>
      </c>
      <c r="T1591">
        <v>1.0181590440974984</v>
      </c>
      <c r="U1591">
        <v>0</v>
      </c>
      <c r="V1591">
        <v>9.6837348486109337E-2</v>
      </c>
      <c r="W1591">
        <v>3.4177019377967577E-2</v>
      </c>
      <c r="X1591">
        <v>7.0479884059548694E-3</v>
      </c>
      <c r="Y1591">
        <v>1.6216116752900982E-3</v>
      </c>
    </row>
    <row r="1592" spans="1:25" x14ac:dyDescent="0.25">
      <c r="A1592" s="1096"/>
      <c r="B1592" s="1455">
        <v>1342</v>
      </c>
      <c r="C1592" s="1100">
        <v>0.9856308262147605</v>
      </c>
      <c r="D1592" s="1100">
        <v>1.019879656408166</v>
      </c>
      <c r="E1592" s="1100">
        <v>1.0398341675295801</v>
      </c>
      <c r="F1592" s="1100">
        <v>0.99349685902614204</v>
      </c>
      <c r="G1592" s="1100">
        <v>1.0254216302992618</v>
      </c>
      <c r="H1592" s="1100">
        <v>1.0055796596289117</v>
      </c>
      <c r="I1592" s="1100">
        <v>1.0172354364389677</v>
      </c>
      <c r="K1592">
        <v>1.3158548431009114</v>
      </c>
      <c r="L1592">
        <v>0</v>
      </c>
      <c r="M1592">
        <v>5.5998717248486229E-4</v>
      </c>
      <c r="N1592">
        <v>5.806909545758468E-2</v>
      </c>
      <c r="O1592">
        <v>7.8232133511648063E-3</v>
      </c>
      <c r="P1592">
        <v>1.6655386720141871E-2</v>
      </c>
      <c r="Q1592">
        <v>4.7124349833759394E-4</v>
      </c>
      <c r="R1592">
        <v>5.5834391576438402E-4</v>
      </c>
      <c r="S1592">
        <v>6.2070883266607195E-2</v>
      </c>
      <c r="T1592">
        <v>1.024510526086825</v>
      </c>
      <c r="U1592">
        <v>0</v>
      </c>
      <c r="V1592">
        <v>9.9355781712332211E-2</v>
      </c>
      <c r="W1592">
        <v>3.7268596102158658E-2</v>
      </c>
      <c r="X1592">
        <v>8.1121320817907107E-3</v>
      </c>
      <c r="Y1592">
        <v>1.5196280806882884E-3</v>
      </c>
    </row>
    <row r="1593" spans="1:25" x14ac:dyDescent="0.25">
      <c r="A1593" s="1096"/>
      <c r="B1593" s="1455">
        <v>1343</v>
      </c>
      <c r="C1593" s="1100">
        <v>1.0246422338853327</v>
      </c>
      <c r="D1593" s="1100">
        <v>0.95261712227452644</v>
      </c>
      <c r="E1593" s="1100">
        <v>0.99342774381635346</v>
      </c>
      <c r="F1593" s="1100">
        <v>0.97376529613077267</v>
      </c>
      <c r="G1593" s="1100">
        <v>0.97540776621972591</v>
      </c>
      <c r="H1593" s="1100">
        <v>1.0231310517620533</v>
      </c>
      <c r="I1593" s="1100">
        <v>1.0325568963339424</v>
      </c>
      <c r="K1593">
        <v>1.290528072078208</v>
      </c>
      <c r="L1593">
        <v>0</v>
      </c>
      <c r="M1593">
        <v>6.2029576132346476E-4</v>
      </c>
      <c r="N1593">
        <v>5.5920650316759565E-2</v>
      </c>
      <c r="O1593">
        <v>7.7221951027662385E-3</v>
      </c>
      <c r="P1593">
        <v>1.5809609054422219E-2</v>
      </c>
      <c r="Q1593">
        <v>4.4414717778050634E-4</v>
      </c>
      <c r="R1593">
        <v>6.1850675709827492E-4</v>
      </c>
      <c r="S1593">
        <v>6.3369448988062349E-2</v>
      </c>
      <c r="T1593">
        <v>1.0054857638715549</v>
      </c>
      <c r="U1593">
        <v>0</v>
      </c>
      <c r="V1593">
        <v>9.5926372595390413E-2</v>
      </c>
      <c r="W1593">
        <v>3.6880219028804562E-2</v>
      </c>
      <c r="X1593">
        <v>7.2880834447687538E-3</v>
      </c>
      <c r="Y1593">
        <v>1.6833715021238233E-3</v>
      </c>
    </row>
    <row r="1594" spans="1:25" x14ac:dyDescent="0.25">
      <c r="A1594" s="1096"/>
      <c r="B1594" s="1455">
        <v>1344</v>
      </c>
      <c r="C1594" s="1100">
        <v>0.97625642206080754</v>
      </c>
      <c r="D1594" s="1100">
        <v>0.97294030914277252</v>
      </c>
      <c r="E1594" s="1100">
        <v>0.98195257255913637</v>
      </c>
      <c r="F1594" s="1100">
        <v>0.96379482099441305</v>
      </c>
      <c r="G1594" s="1100">
        <v>0.99354643059540793</v>
      </c>
      <c r="H1594" s="1100">
        <v>1.027440229234424</v>
      </c>
      <c r="I1594" s="1100">
        <v>0.97108285642662795</v>
      </c>
      <c r="K1594">
        <v>1.2846601659558941</v>
      </c>
      <c r="L1594">
        <v>0</v>
      </c>
      <c r="M1594">
        <v>6.638698457324026E-4</v>
      </c>
      <c r="N1594">
        <v>5.7808465905058073E-2</v>
      </c>
      <c r="O1594">
        <v>8.0338669058263711E-3</v>
      </c>
      <c r="P1594">
        <v>1.5548206916080652E-2</v>
      </c>
      <c r="Q1594">
        <v>4.5673788782241837E-4</v>
      </c>
      <c r="R1594">
        <v>6.619631991711583E-4</v>
      </c>
      <c r="S1594">
        <v>6.1967746015696615E-2</v>
      </c>
      <c r="T1594">
        <v>0.99552375768867296</v>
      </c>
      <c r="U1594">
        <v>0</v>
      </c>
      <c r="V1594">
        <v>9.7989635283299806E-2</v>
      </c>
      <c r="W1594">
        <v>3.8388724166597755E-2</v>
      </c>
      <c r="X1594">
        <v>7.1432862213669747E-3</v>
      </c>
      <c r="Y1594">
        <v>1.8016456120339335E-3</v>
      </c>
    </row>
    <row r="1595" spans="1:25" x14ac:dyDescent="0.25">
      <c r="A1595" s="1096"/>
      <c r="B1595" s="1455">
        <v>1345</v>
      </c>
      <c r="C1595" s="1100">
        <v>1.0379394461073335</v>
      </c>
      <c r="D1595" s="1100">
        <v>0.97820913665115217</v>
      </c>
      <c r="E1595" s="1100">
        <v>1.0097503051170063</v>
      </c>
      <c r="F1595" s="1100">
        <v>0.98293750924049261</v>
      </c>
      <c r="G1595" s="1100">
        <v>1.0345198274533574</v>
      </c>
      <c r="H1595" s="1100">
        <v>1.0232106305291313</v>
      </c>
      <c r="I1595" s="1100">
        <v>1.0128650684077123</v>
      </c>
      <c r="K1595">
        <v>1.2984303564876027</v>
      </c>
      <c r="L1595">
        <v>0</v>
      </c>
      <c r="M1595">
        <v>5.857598010997713E-4</v>
      </c>
      <c r="N1595">
        <v>5.5476282538631447E-2</v>
      </c>
      <c r="O1595">
        <v>7.5467489450855955E-3</v>
      </c>
      <c r="P1595">
        <v>1.6122687988967661E-2</v>
      </c>
      <c r="Q1595">
        <v>4.4123029718234018E-4</v>
      </c>
      <c r="R1595">
        <v>5.840705339413936E-4</v>
      </c>
      <c r="S1595">
        <v>6.0517432784438108E-2</v>
      </c>
      <c r="T1595">
        <v>1.0144799675214049</v>
      </c>
      <c r="U1595">
        <v>0</v>
      </c>
      <c r="V1595">
        <v>9.8494243993804825E-2</v>
      </c>
      <c r="W1595">
        <v>3.6234367191791787E-2</v>
      </c>
      <c r="X1595">
        <v>7.5294370388664014E-3</v>
      </c>
      <c r="Y1595">
        <v>1.5896474545887052E-3</v>
      </c>
    </row>
    <row r="1596" spans="1:25" x14ac:dyDescent="0.25">
      <c r="A1596" s="1096"/>
      <c r="B1596" s="1455">
        <v>1346</v>
      </c>
      <c r="C1596" s="1100">
        <v>1.0122483788740939</v>
      </c>
      <c r="D1596" s="1100">
        <v>1.0102402221896793</v>
      </c>
      <c r="E1596" s="1100">
        <v>1.0004817641313368</v>
      </c>
      <c r="F1596" s="1100">
        <v>0.99562673057123097</v>
      </c>
      <c r="G1596" s="1100">
        <v>0.99621749461538844</v>
      </c>
      <c r="H1596" s="1100">
        <v>1.011044228390354</v>
      </c>
      <c r="I1596" s="1100">
        <v>1.001475334095649</v>
      </c>
      <c r="K1596">
        <v>1.3094758792046253</v>
      </c>
      <c r="L1596">
        <v>0</v>
      </c>
      <c r="M1596">
        <v>5.9726722595137356E-4</v>
      </c>
      <c r="N1596">
        <v>5.5002787198995817E-2</v>
      </c>
      <c r="O1596">
        <v>7.6369557099138039E-3</v>
      </c>
      <c r="P1596">
        <v>1.6169351984090103E-2</v>
      </c>
      <c r="Q1596">
        <v>4.4237542927874618E-4</v>
      </c>
      <c r="R1596">
        <v>5.9552404549479841E-4</v>
      </c>
      <c r="S1596">
        <v>5.99320667873528E-2</v>
      </c>
      <c r="T1596">
        <v>1.0278496529308803</v>
      </c>
      <c r="U1596">
        <v>0</v>
      </c>
      <c r="V1596">
        <v>9.7236967651173845E-2</v>
      </c>
      <c r="W1596">
        <v>3.6122749456312608E-2</v>
      </c>
      <c r="X1596">
        <v>7.4638950996958704E-3</v>
      </c>
      <c r="Y1596">
        <v>1.6208201373880049E-3</v>
      </c>
    </row>
    <row r="1597" spans="1:25" x14ac:dyDescent="0.25">
      <c r="A1597" s="1096"/>
      <c r="B1597" s="1455">
        <v>1347</v>
      </c>
      <c r="C1597" s="1100">
        <v>0.98885381988915377</v>
      </c>
      <c r="D1597" s="1100">
        <v>1.025917931587176</v>
      </c>
      <c r="E1597" s="1100">
        <v>1.0240063052574908</v>
      </c>
      <c r="F1597" s="1100">
        <v>1.0064736779990122</v>
      </c>
      <c r="G1597" s="1100">
        <v>0.99945405761113493</v>
      </c>
      <c r="H1597" s="1100">
        <v>0.96694518473979785</v>
      </c>
      <c r="I1597" s="1100">
        <v>0.96376938319136529</v>
      </c>
      <c r="K1597">
        <v>1.3179475321399881</v>
      </c>
      <c r="L1597">
        <v>0</v>
      </c>
      <c r="M1597">
        <v>5.5341129587616121E-4</v>
      </c>
      <c r="N1597">
        <v>5.4707240587483871E-2</v>
      </c>
      <c r="O1597">
        <v>7.7754165772179942E-3</v>
      </c>
      <c r="P1597">
        <v>1.6572031079403419E-2</v>
      </c>
      <c r="Q1597">
        <v>4.6109960324338572E-4</v>
      </c>
      <c r="R1597">
        <v>5.5172245013591567E-4</v>
      </c>
      <c r="S1597">
        <v>5.7278325186135889E-2</v>
      </c>
      <c r="T1597">
        <v>1.0383515303154678</v>
      </c>
      <c r="U1597">
        <v>0</v>
      </c>
      <c r="V1597">
        <v>9.7999254051603715E-2</v>
      </c>
      <c r="W1597">
        <v>3.5434553964542939E-2</v>
      </c>
      <c r="X1597">
        <v>7.868162986615853E-3</v>
      </c>
      <c r="Y1597">
        <v>1.5016066340131553E-3</v>
      </c>
    </row>
    <row r="1598" spans="1:25" x14ac:dyDescent="0.25">
      <c r="A1598" s="1096"/>
      <c r="B1598" s="1455">
        <v>1348</v>
      </c>
      <c r="C1598" s="1100">
        <v>0.99934572962093282</v>
      </c>
      <c r="D1598" s="1100">
        <v>0.99836475162552585</v>
      </c>
      <c r="E1598" s="1100">
        <v>0.98588758019705325</v>
      </c>
      <c r="F1598" s="1100">
        <v>1.011782167465761</v>
      </c>
      <c r="G1598" s="1100">
        <v>0.97840053397082138</v>
      </c>
      <c r="H1598" s="1100">
        <v>0.9839207659706587</v>
      </c>
      <c r="I1598" s="1100">
        <v>0.98010365006043609</v>
      </c>
      <c r="K1598">
        <v>1.3233293495840328</v>
      </c>
      <c r="L1598">
        <v>0</v>
      </c>
      <c r="M1598">
        <v>6.0970179861163985E-4</v>
      </c>
      <c r="N1598">
        <v>5.3720477495731681E-2</v>
      </c>
      <c r="O1598">
        <v>7.76864888251475E-3</v>
      </c>
      <c r="P1598">
        <v>1.6203527558736792E-2</v>
      </c>
      <c r="Q1598">
        <v>4.4342593749134118E-4</v>
      </c>
      <c r="R1598">
        <v>6.0787327249396846E-4</v>
      </c>
      <c r="S1598">
        <v>5.8961066796394707E-2</v>
      </c>
      <c r="T1598">
        <v>1.0449704700227382</v>
      </c>
      <c r="U1598">
        <v>0</v>
      </c>
      <c r="V1598">
        <v>9.6674997225231221E-2</v>
      </c>
      <c r="W1598">
        <v>3.5589623445743991E-2</v>
      </c>
      <c r="X1598">
        <v>7.3445100832094344E-3</v>
      </c>
      <c r="Y1598">
        <v>1.6544306623581591E-3</v>
      </c>
    </row>
    <row r="1599" spans="1:25" x14ac:dyDescent="0.25">
      <c r="A1599" s="1096"/>
      <c r="B1599" s="1455">
        <v>1349</v>
      </c>
      <c r="C1599" s="1100">
        <v>0.99943675682308841</v>
      </c>
      <c r="D1599" s="1100">
        <v>0.99898882844725456</v>
      </c>
      <c r="E1599" s="1100">
        <v>1.0012788298244295</v>
      </c>
      <c r="F1599" s="1100">
        <v>0.99798592975323097</v>
      </c>
      <c r="G1599" s="1100">
        <v>1.0385522684714386</v>
      </c>
      <c r="H1599" s="1100">
        <v>1.0159073030986203</v>
      </c>
      <c r="I1599" s="1100">
        <v>1.0127026049922985</v>
      </c>
      <c r="K1599">
        <v>1.3186564560467902</v>
      </c>
      <c r="L1599">
        <v>0</v>
      </c>
      <c r="M1599">
        <v>6.0955353134325215E-4</v>
      </c>
      <c r="N1599">
        <v>5.6270362134870661E-2</v>
      </c>
      <c r="O1599">
        <v>7.7697778628459469E-3</v>
      </c>
      <c r="P1599">
        <v>1.6271062379580148E-2</v>
      </c>
      <c r="Q1599">
        <v>4.5042979688346597E-4</v>
      </c>
      <c r="R1599">
        <v>6.0778300828304654E-4</v>
      </c>
      <c r="S1599">
        <v>6.1901350704661975E-2</v>
      </c>
      <c r="T1599">
        <v>1.0302615502369754</v>
      </c>
      <c r="U1599">
        <v>0</v>
      </c>
      <c r="V1599">
        <v>9.9599744316564043E-2</v>
      </c>
      <c r="W1599">
        <v>3.6937731090127962E-2</v>
      </c>
      <c r="X1599">
        <v>7.5420330544087684E-3</v>
      </c>
      <c r="Y1599">
        <v>1.654184992931619E-3</v>
      </c>
    </row>
    <row r="1600" spans="1:25" x14ac:dyDescent="0.25">
      <c r="A1600" s="1096"/>
      <c r="B1600" s="1455">
        <v>1350</v>
      </c>
      <c r="C1600" s="1100">
        <v>1.0415255572961817</v>
      </c>
      <c r="D1600" s="1100">
        <v>0.98039382278662346</v>
      </c>
      <c r="E1600" s="1100">
        <v>0.96604368959572229</v>
      </c>
      <c r="F1600" s="1100">
        <v>0.9913592478206158</v>
      </c>
      <c r="G1600" s="1100">
        <v>0.99740904288104004</v>
      </c>
      <c r="H1600" s="1100">
        <v>1.0112694130513289</v>
      </c>
      <c r="I1600" s="1100">
        <v>0.98628324067209694</v>
      </c>
      <c r="K1600">
        <v>1.2990016758376348</v>
      </c>
      <c r="L1600">
        <v>0</v>
      </c>
      <c r="M1600">
        <v>6.3100720248605976E-4</v>
      </c>
      <c r="N1600">
        <v>5.2361113078563337E-2</v>
      </c>
      <c r="O1600">
        <v>7.5036936481471537E-3</v>
      </c>
      <c r="P1600">
        <v>1.5677151472545219E-2</v>
      </c>
      <c r="Q1600">
        <v>4.1973145992640638E-4</v>
      </c>
      <c r="R1600">
        <v>6.2916595883193214E-4</v>
      </c>
      <c r="S1600">
        <v>5.8267106378558295E-2</v>
      </c>
      <c r="T1600">
        <v>1.024477332528797</v>
      </c>
      <c r="U1600">
        <v>0</v>
      </c>
      <c r="V1600">
        <v>9.6568800895278792E-2</v>
      </c>
      <c r="W1600">
        <v>3.5108554213340311E-2</v>
      </c>
      <c r="X1600">
        <v>6.9076510706934553E-3</v>
      </c>
      <c r="Y1600">
        <v>1.7123823354379317E-3</v>
      </c>
    </row>
    <row r="1601" spans="1:25" x14ac:dyDescent="0.25">
      <c r="A1601" s="1096"/>
      <c r="B1601" s="1455">
        <v>1351</v>
      </c>
      <c r="C1601" s="1100">
        <v>1.0030600646488417</v>
      </c>
      <c r="D1601" s="1100">
        <v>1.0207989997011209</v>
      </c>
      <c r="E1601" s="1100">
        <v>0.96196075746126208</v>
      </c>
      <c r="F1601" s="1100">
        <v>0.95156208747377946</v>
      </c>
      <c r="G1601" s="1100">
        <v>0.99417591848703357</v>
      </c>
      <c r="H1601" s="1100">
        <v>0.99008725270957232</v>
      </c>
      <c r="I1601" s="1100">
        <v>0.99855651724676064</v>
      </c>
      <c r="K1601">
        <v>1.2589523287952218</v>
      </c>
      <c r="L1601">
        <v>0</v>
      </c>
      <c r="M1601">
        <v>6.3653921128775724E-4</v>
      </c>
      <c r="N1601">
        <v>5.2167631243977844E-2</v>
      </c>
      <c r="O1601">
        <v>7.6656044904019329E-3</v>
      </c>
      <c r="P1601">
        <v>1.5108193667348181E-2</v>
      </c>
      <c r="Q1601">
        <v>4.2699659719087234E-4</v>
      </c>
      <c r="R1601">
        <v>6.3464208819298724E-4</v>
      </c>
      <c r="S1601">
        <v>5.930159723813385E-2</v>
      </c>
      <c r="T1601">
        <v>0.98347050933116165</v>
      </c>
      <c r="U1601">
        <v>0</v>
      </c>
      <c r="V1601">
        <v>9.7319939071418768E-2</v>
      </c>
      <c r="W1601">
        <v>3.5066270175574336E-2</v>
      </c>
      <c r="X1601">
        <v>6.7001975487545945E-3</v>
      </c>
      <c r="Y1601">
        <v>1.7272865543531649E-3</v>
      </c>
    </row>
    <row r="1602" spans="1:25" x14ac:dyDescent="0.25">
      <c r="A1602" s="1096"/>
      <c r="B1602" s="1455">
        <v>1352</v>
      </c>
      <c r="C1602" s="1100">
        <v>1.0375380011840094</v>
      </c>
      <c r="D1602" s="1100">
        <v>0.9918268277122062</v>
      </c>
      <c r="E1602" s="1100">
        <v>0.99147702586127595</v>
      </c>
      <c r="F1602" s="1100">
        <v>1.0298113016599484</v>
      </c>
      <c r="G1602" s="1100">
        <v>0.98023614439870299</v>
      </c>
      <c r="H1602" s="1100">
        <v>1.0160221366621112</v>
      </c>
      <c r="I1602" s="1100">
        <v>0.98312414502291978</v>
      </c>
      <c r="K1602">
        <v>1.3403232058948802</v>
      </c>
      <c r="L1602">
        <v>0</v>
      </c>
      <c r="M1602">
        <v>6.0101765053660367E-4</v>
      </c>
      <c r="N1602">
        <v>5.3863043046627777E-2</v>
      </c>
      <c r="O1602">
        <v>7.5036964347626389E-3</v>
      </c>
      <c r="P1602">
        <v>1.6499224391454188E-2</v>
      </c>
      <c r="Q1602">
        <v>4.3073112043277823E-4</v>
      </c>
      <c r="R1602">
        <v>5.9927211829712446E-4</v>
      </c>
      <c r="S1602">
        <v>5.8104149160508212E-2</v>
      </c>
      <c r="T1602">
        <v>1.0634177182099229</v>
      </c>
      <c r="U1602">
        <v>0</v>
      </c>
      <c r="V1602">
        <v>9.5857222999638544E-2</v>
      </c>
      <c r="W1602">
        <v>3.5564662905078939E-2</v>
      </c>
      <c r="X1602">
        <v>7.4534820026889246E-3</v>
      </c>
      <c r="Y1602">
        <v>1.6310211560040691E-3</v>
      </c>
    </row>
    <row r="1603" spans="1:25" x14ac:dyDescent="0.25">
      <c r="A1603" s="1096"/>
      <c r="B1603" s="1455">
        <v>1353</v>
      </c>
      <c r="C1603" s="1100">
        <v>1.0190527728262349</v>
      </c>
      <c r="D1603" s="1100">
        <v>0.96443639006409365</v>
      </c>
      <c r="E1603" s="1100">
        <v>1.0089508945619017</v>
      </c>
      <c r="F1603" s="1100">
        <v>1.0359866022410302</v>
      </c>
      <c r="G1603" s="1100">
        <v>0.96363516325021559</v>
      </c>
      <c r="H1603" s="1100">
        <v>1.0120240411601791</v>
      </c>
      <c r="I1603" s="1100">
        <v>0.99943769073703093</v>
      </c>
      <c r="K1603">
        <v>1.3529972462119471</v>
      </c>
      <c r="L1603">
        <v>0</v>
      </c>
      <c r="M1603">
        <v>5.9443604835804982E-4</v>
      </c>
      <c r="N1603">
        <v>5.6160485912970501E-2</v>
      </c>
      <c r="O1603">
        <v>7.7301425560329963E-3</v>
      </c>
      <c r="P1603">
        <v>1.6830055669659057E-2</v>
      </c>
      <c r="Q1603">
        <v>4.5159148810000198E-4</v>
      </c>
      <c r="R1603">
        <v>5.9270281065647702E-4</v>
      </c>
      <c r="S1603">
        <v>6.0944845353835847E-2</v>
      </c>
      <c r="T1603">
        <v>1.0692558259528322</v>
      </c>
      <c r="U1603">
        <v>0</v>
      </c>
      <c r="V1603">
        <v>9.5506558690119384E-2</v>
      </c>
      <c r="W1603">
        <v>3.6698559264797682E-2</v>
      </c>
      <c r="X1603">
        <v>7.807772895121837E-3</v>
      </c>
      <c r="Y1603">
        <v>1.613141666177908E-3</v>
      </c>
    </row>
    <row r="1604" spans="1:25" x14ac:dyDescent="0.25">
      <c r="A1604" s="1096"/>
      <c r="B1604" s="1455">
        <v>1354</v>
      </c>
      <c r="C1604" s="1100">
        <v>1.0197320332855719</v>
      </c>
      <c r="D1604" s="1100">
        <v>1.0274518110991846</v>
      </c>
      <c r="E1604" s="1100">
        <v>0.99996816640213082</v>
      </c>
      <c r="F1604" s="1100">
        <v>1.0054423263782251</v>
      </c>
      <c r="G1604" s="1100">
        <v>1.0280751207860674</v>
      </c>
      <c r="H1604" s="1100">
        <v>0.97546624140250449</v>
      </c>
      <c r="I1604" s="1100">
        <v>1.0430824877242633</v>
      </c>
      <c r="K1604">
        <v>1.3168536206132724</v>
      </c>
      <c r="L1604">
        <v>0</v>
      </c>
      <c r="M1604">
        <v>5.6877405150341934E-4</v>
      </c>
      <c r="N1604">
        <v>5.2292034727623442E-2</v>
      </c>
      <c r="O1604">
        <v>7.5297320665205442E-3</v>
      </c>
      <c r="P1604">
        <v>1.6325251979340365E-2</v>
      </c>
      <c r="Q1604">
        <v>4.3593934562741329E-4</v>
      </c>
      <c r="R1604">
        <v>5.6705348545362238E-4</v>
      </c>
      <c r="S1604">
        <v>6.0306540371177851E-2</v>
      </c>
      <c r="T1604">
        <v>1.0379982922234783</v>
      </c>
      <c r="U1604">
        <v>0</v>
      </c>
      <c r="V1604">
        <v>9.8597892705629464E-2</v>
      </c>
      <c r="W1604">
        <v>3.4352962014960638E-2</v>
      </c>
      <c r="X1604">
        <v>7.4733630866900607E-3</v>
      </c>
      <c r="Y1604">
        <v>1.5433326582735185E-3</v>
      </c>
    </row>
    <row r="1605" spans="1:25" x14ac:dyDescent="0.25">
      <c r="A1605" s="1096"/>
      <c r="B1605" s="1455">
        <v>1355</v>
      </c>
      <c r="C1605" s="1100">
        <v>1.0215469924092038</v>
      </c>
      <c r="D1605" s="1100">
        <v>1.0078037349548539</v>
      </c>
      <c r="E1605" s="1100">
        <v>0.99273477306110891</v>
      </c>
      <c r="F1605" s="1100">
        <v>0.992401768093647</v>
      </c>
      <c r="G1605" s="1100">
        <v>1.0099120181998691</v>
      </c>
      <c r="H1605" s="1100">
        <v>0.97889522529576256</v>
      </c>
      <c r="I1605" s="1100">
        <v>1.0191452622177157</v>
      </c>
      <c r="K1605">
        <v>1.3018987082227025</v>
      </c>
      <c r="L1605">
        <v>0</v>
      </c>
      <c r="M1605">
        <v>5.8285191194349729E-4</v>
      </c>
      <c r="N1605">
        <v>5.2428224223804248E-2</v>
      </c>
      <c r="O1605">
        <v>7.5728984235894446E-3</v>
      </c>
      <c r="P1605">
        <v>1.60342111011119E-2</v>
      </c>
      <c r="Q1605">
        <v>4.3525582774045344E-4</v>
      </c>
      <c r="R1605">
        <v>5.8109493592543306E-4</v>
      </c>
      <c r="S1605">
        <v>5.9528748727280124E-2</v>
      </c>
      <c r="T1605">
        <v>1.0247499316553994</v>
      </c>
      <c r="U1605">
        <v>0</v>
      </c>
      <c r="V1605">
        <v>9.7668018007810928E-2</v>
      </c>
      <c r="W1605">
        <v>3.4591251670714016E-2</v>
      </c>
      <c r="X1605">
        <v>7.3103767035745644E-3</v>
      </c>
      <c r="Y1605">
        <v>1.5815488576948835E-3</v>
      </c>
    </row>
    <row r="1606" spans="1:25" x14ac:dyDescent="0.25">
      <c r="A1606" s="1096"/>
      <c r="B1606" s="1455">
        <v>1356</v>
      </c>
      <c r="C1606" s="1100">
        <v>0.95868005304465076</v>
      </c>
      <c r="D1606" s="1100">
        <v>0.98920525335629961</v>
      </c>
      <c r="E1606" s="1100">
        <v>0.96930100649495343</v>
      </c>
      <c r="F1606" s="1100">
        <v>1.0261367399991144</v>
      </c>
      <c r="G1606" s="1100">
        <v>1.0087898490441336</v>
      </c>
      <c r="H1606" s="1100">
        <v>1.0065892085994033</v>
      </c>
      <c r="I1606" s="1100">
        <v>1.0287106026877859</v>
      </c>
      <c r="K1606">
        <v>1.3535477763438071</v>
      </c>
      <c r="L1606">
        <v>0</v>
      </c>
      <c r="M1606">
        <v>6.7537076635214202E-4</v>
      </c>
      <c r="N1606">
        <v>5.6597205868455028E-2</v>
      </c>
      <c r="O1606">
        <v>8.1238434092733101E-3</v>
      </c>
      <c r="P1606">
        <v>1.6326003575261625E-2</v>
      </c>
      <c r="Q1606">
        <v>4.5593792189854845E-4</v>
      </c>
      <c r="R1606">
        <v>6.733909094299047E-4</v>
      </c>
      <c r="S1606">
        <v>6.555902571729802E-2</v>
      </c>
      <c r="T1606">
        <v>1.0603139046522465</v>
      </c>
      <c r="U1606">
        <v>0</v>
      </c>
      <c r="V1606">
        <v>9.9178031846668624E-2</v>
      </c>
      <c r="W1606">
        <v>3.7873590481698131E-2</v>
      </c>
      <c r="X1606">
        <v>7.2894646557142544E-3</v>
      </c>
      <c r="Y1606">
        <v>1.8327480722145659E-3</v>
      </c>
    </row>
    <row r="1607" spans="1:25" x14ac:dyDescent="0.25">
      <c r="A1607" s="1096"/>
      <c r="B1607" s="1455">
        <v>1357</v>
      </c>
      <c r="C1607" s="1100">
        <v>1.0105779141326776</v>
      </c>
      <c r="D1607" s="1100">
        <v>0.97781481818039462</v>
      </c>
      <c r="E1607" s="1100">
        <v>1.0144823816462734</v>
      </c>
      <c r="F1607" s="1100">
        <v>1.0079962540700202</v>
      </c>
      <c r="G1607" s="1100">
        <v>0.95913369240348179</v>
      </c>
      <c r="H1607" s="1100">
        <v>0.98121954818260992</v>
      </c>
      <c r="I1607" s="1100">
        <v>1.0077950637220174</v>
      </c>
      <c r="K1607">
        <v>1.320900767736892</v>
      </c>
      <c r="L1607">
        <v>0</v>
      </c>
      <c r="M1607">
        <v>5.7137610750717792E-4</v>
      </c>
      <c r="N1607">
        <v>5.4885740759632637E-2</v>
      </c>
      <c r="O1607">
        <v>7.7534903022667152E-3</v>
      </c>
      <c r="P1607">
        <v>1.6493153167965038E-2</v>
      </c>
      <c r="Q1607">
        <v>4.5546461948848643E-4</v>
      </c>
      <c r="R1607">
        <v>5.6965780468784684E-4</v>
      </c>
      <c r="S1607">
        <v>6.0572399487028042E-2</v>
      </c>
      <c r="T1607">
        <v>1.0402025892977678</v>
      </c>
      <c r="U1607">
        <v>0</v>
      </c>
      <c r="V1607">
        <v>9.5498860455272339E-2</v>
      </c>
      <c r="W1607">
        <v>3.5748928179219763E-2</v>
      </c>
      <c r="X1607">
        <v>7.741439014354058E-3</v>
      </c>
      <c r="Y1607">
        <v>1.5504207567154729E-3</v>
      </c>
    </row>
    <row r="1608" spans="1:25" x14ac:dyDescent="0.25">
      <c r="A1608" s="1096"/>
      <c r="B1608" s="1455">
        <v>1358</v>
      </c>
      <c r="C1608" s="1100">
        <v>0.97214081042800393</v>
      </c>
      <c r="D1608" s="1100">
        <v>0.98019702337502124</v>
      </c>
      <c r="E1608" s="1100">
        <v>0.98303082259970631</v>
      </c>
      <c r="F1608" s="1100">
        <v>0.98538339649171547</v>
      </c>
      <c r="G1608" s="1100">
        <v>0.99408365444560698</v>
      </c>
      <c r="H1608" s="1100">
        <v>0.98968448808786325</v>
      </c>
      <c r="I1608" s="1100">
        <v>0.99657234674033168</v>
      </c>
      <c r="K1608">
        <v>1.304537745316795</v>
      </c>
      <c r="L1608">
        <v>0</v>
      </c>
      <c r="M1608">
        <v>6.3884913622339805E-4</v>
      </c>
      <c r="N1608">
        <v>5.5805330042280402E-2</v>
      </c>
      <c r="O1608">
        <v>8.0442074941005498E-3</v>
      </c>
      <c r="P1608">
        <v>1.5868677197141079E-2</v>
      </c>
      <c r="Q1608">
        <v>4.5782654375984676E-4</v>
      </c>
      <c r="R1608">
        <v>6.369443538350656E-4</v>
      </c>
      <c r="S1608">
        <v>6.2420154760250271E-2</v>
      </c>
      <c r="T1608">
        <v>1.0177908664484818</v>
      </c>
      <c r="U1608">
        <v>0</v>
      </c>
      <c r="V1608">
        <v>9.8124266581265593E-2</v>
      </c>
      <c r="W1608">
        <v>3.7034434354544239E-2</v>
      </c>
      <c r="X1608">
        <v>7.2603341148711632E-3</v>
      </c>
      <c r="Y1608">
        <v>1.733552562489237E-3</v>
      </c>
    </row>
    <row r="1609" spans="1:25" x14ac:dyDescent="0.25">
      <c r="A1609" s="1096"/>
      <c r="B1609" s="1455">
        <v>1359</v>
      </c>
      <c r="C1609" s="1100">
        <v>1.0188479581968621</v>
      </c>
      <c r="D1609" s="1100">
        <v>1.0268764738768359</v>
      </c>
      <c r="E1609" s="1100">
        <v>0.99978313450419098</v>
      </c>
      <c r="F1609" s="1100">
        <v>0.99766391791804421</v>
      </c>
      <c r="G1609" s="1100">
        <v>0.98099971596180069</v>
      </c>
      <c r="H1609" s="1100">
        <v>1.0300972392495542</v>
      </c>
      <c r="I1609" s="1100">
        <v>0.98818336304973664</v>
      </c>
      <c r="K1609">
        <v>1.3099192128234383</v>
      </c>
      <c r="L1609">
        <v>0</v>
      </c>
      <c r="M1609">
        <v>6.015149483283587E-4</v>
      </c>
      <c r="N1609">
        <v>5.5280159734306132E-2</v>
      </c>
      <c r="O1609">
        <v>7.5379103394193478E-3</v>
      </c>
      <c r="P1609">
        <v>1.616222467461554E-2</v>
      </c>
      <c r="Q1609">
        <v>4.3633166616418776E-4</v>
      </c>
      <c r="R1609">
        <v>5.9979184222931886E-4</v>
      </c>
      <c r="S1609">
        <v>5.8800005251631197E-2</v>
      </c>
      <c r="T1609">
        <v>1.0299735161921821</v>
      </c>
      <c r="U1609">
        <v>0</v>
      </c>
      <c r="V1609">
        <v>9.6341416771547783E-2</v>
      </c>
      <c r="W1609">
        <v>3.631998853947227E-2</v>
      </c>
      <c r="X1609">
        <v>7.4369470869785721E-3</v>
      </c>
      <c r="Y1609">
        <v>1.6324356732205537E-3</v>
      </c>
    </row>
    <row r="1610" spans="1:25" x14ac:dyDescent="0.25">
      <c r="A1610" s="1096"/>
      <c r="B1610" s="1455">
        <v>1360</v>
      </c>
      <c r="C1610" s="1100">
        <v>1.0278718157238595</v>
      </c>
      <c r="D1610" s="1100">
        <v>1.0194967808034474</v>
      </c>
      <c r="E1610" s="1100">
        <v>1.0290237119143615</v>
      </c>
      <c r="F1610" s="1100">
        <v>1.036740722594256</v>
      </c>
      <c r="G1610" s="1100">
        <v>0.99394169771528207</v>
      </c>
      <c r="H1610" s="1100">
        <v>1.0359755001526609</v>
      </c>
      <c r="I1610" s="1100">
        <v>1.0244740101206786</v>
      </c>
      <c r="K1610">
        <v>1.3552222047960729</v>
      </c>
      <c r="L1610">
        <v>0</v>
      </c>
      <c r="M1610">
        <v>5.6590199677599036E-4</v>
      </c>
      <c r="N1610">
        <v>5.6806380478457527E-2</v>
      </c>
      <c r="O1610">
        <v>7.5002655514044576E-3</v>
      </c>
      <c r="P1610">
        <v>1.7098792571366105E-2</v>
      </c>
      <c r="Q1610">
        <v>4.4699868716927563E-4</v>
      </c>
      <c r="R1610">
        <v>5.642901061864565E-4</v>
      </c>
      <c r="S1610">
        <v>6.0863524878425827E-2</v>
      </c>
      <c r="T1610">
        <v>1.0694264798116671</v>
      </c>
      <c r="U1610">
        <v>0</v>
      </c>
      <c r="V1610">
        <v>9.678640250666562E-2</v>
      </c>
      <c r="W1610">
        <v>3.6686893428955543E-2</v>
      </c>
      <c r="X1610">
        <v>8.0722671216947803E-3</v>
      </c>
      <c r="Y1610">
        <v>1.535811650856024E-3</v>
      </c>
    </row>
    <row r="1611" spans="1:25" x14ac:dyDescent="0.25">
      <c r="A1611" s="1096"/>
      <c r="B1611" s="1455">
        <v>1361</v>
      </c>
      <c r="C1611" s="1100">
        <v>0.97651667403731401</v>
      </c>
      <c r="D1611" s="1100">
        <v>1.0242348779994928</v>
      </c>
      <c r="E1611" s="1100">
        <v>1.0178401918633471</v>
      </c>
      <c r="F1611" s="1100">
        <v>1.0187086485199126</v>
      </c>
      <c r="G1611" s="1100">
        <v>1.0393239859567467</v>
      </c>
      <c r="H1611" s="1100">
        <v>1.0401072917334548</v>
      </c>
      <c r="I1611" s="1100">
        <v>1.0066827130383471</v>
      </c>
      <c r="K1611">
        <v>1.3468806230578034</v>
      </c>
      <c r="L1611">
        <v>0</v>
      </c>
      <c r="M1611">
        <v>6.1099064575890561E-4</v>
      </c>
      <c r="N1611">
        <v>5.9298912196494372E-2</v>
      </c>
      <c r="O1611">
        <v>7.8772824579746003E-3</v>
      </c>
      <c r="P1611">
        <v>1.6783229122668837E-2</v>
      </c>
      <c r="Q1611">
        <v>4.6428710740217713E-4</v>
      </c>
      <c r="R1611">
        <v>6.0925723998606117E-4</v>
      </c>
      <c r="S1611">
        <v>6.29138178216503E-2</v>
      </c>
      <c r="T1611">
        <v>1.0511570816928089</v>
      </c>
      <c r="U1611">
        <v>0</v>
      </c>
      <c r="V1611">
        <v>0.10023802485620652</v>
      </c>
      <c r="W1611">
        <v>3.8547345044067857E-2</v>
      </c>
      <c r="X1611">
        <v>7.9441787986567428E-3</v>
      </c>
      <c r="Y1611">
        <v>1.6581973656468738E-3</v>
      </c>
    </row>
    <row r="1612" spans="1:25" x14ac:dyDescent="0.25">
      <c r="A1612" s="1096"/>
      <c r="B1612" s="1455">
        <v>1362</v>
      </c>
      <c r="C1612" s="1100">
        <v>1.0383872642303924</v>
      </c>
      <c r="D1612" s="1100">
        <v>1.0195185125258617</v>
      </c>
      <c r="E1612" s="1100">
        <v>1.029785994419844</v>
      </c>
      <c r="F1612" s="1100">
        <v>1.0000731760066959</v>
      </c>
      <c r="G1612" s="1100">
        <v>0.98500717857577302</v>
      </c>
      <c r="H1612" s="1100">
        <v>1.0167026453011732</v>
      </c>
      <c r="I1612" s="1100">
        <v>1.0002950947905698</v>
      </c>
      <c r="K1612">
        <v>1.3105628753642091</v>
      </c>
      <c r="L1612">
        <v>0</v>
      </c>
      <c r="M1612">
        <v>5.4887292979859353E-4</v>
      </c>
      <c r="N1612">
        <v>5.5220739753290268E-2</v>
      </c>
      <c r="O1612">
        <v>7.4244288312093716E-3</v>
      </c>
      <c r="P1612">
        <v>1.6534942610644431E-2</v>
      </c>
      <c r="Q1612">
        <v>4.4281270742247114E-4</v>
      </c>
      <c r="R1612">
        <v>5.4727990815310503E-4</v>
      </c>
      <c r="S1612">
        <v>5.8262507240125903E-2</v>
      </c>
      <c r="T1612">
        <v>1.0315808740445511</v>
      </c>
      <c r="U1612">
        <v>0</v>
      </c>
      <c r="V1612">
        <v>9.6110661170204101E-2</v>
      </c>
      <c r="W1612">
        <v>3.5647065238169837E-2</v>
      </c>
      <c r="X1612">
        <v>7.8509212910189662E-3</v>
      </c>
      <c r="Y1612">
        <v>1.4895154992195161E-3</v>
      </c>
    </row>
    <row r="1613" spans="1:25" x14ac:dyDescent="0.25">
      <c r="A1613" s="1096"/>
      <c r="B1613" s="1455">
        <v>1363</v>
      </c>
      <c r="C1613" s="1100">
        <v>0.98119526767695087</v>
      </c>
      <c r="D1613" s="1100">
        <v>1.0284732183879961</v>
      </c>
      <c r="E1613" s="1100">
        <v>0.97906347552908068</v>
      </c>
      <c r="F1613" s="1100">
        <v>0.96878364688430352</v>
      </c>
      <c r="G1613" s="1100">
        <v>1.0177215141798348</v>
      </c>
      <c r="H1613" s="1100">
        <v>0.99976480571984572</v>
      </c>
      <c r="I1613" s="1100">
        <v>1.0336819466321738</v>
      </c>
      <c r="K1613">
        <v>1.2861785619102399</v>
      </c>
      <c r="L1613">
        <v>0</v>
      </c>
      <c r="M1613">
        <v>6.323895180893001E-4</v>
      </c>
      <c r="N1613">
        <v>5.4583618775783993E-2</v>
      </c>
      <c r="O1613">
        <v>7.8171922745594782E-3</v>
      </c>
      <c r="P1613">
        <v>1.5609974347420908E-2</v>
      </c>
      <c r="Q1613">
        <v>4.4311685241352444E-4</v>
      </c>
      <c r="R1613">
        <v>6.3052300673225128E-4</v>
      </c>
      <c r="S1613">
        <v>6.2828877607917125E-2</v>
      </c>
      <c r="T1613">
        <v>1.0007617599578513</v>
      </c>
      <c r="U1613">
        <v>0</v>
      </c>
      <c r="V1613">
        <v>9.9028034082056779E-2</v>
      </c>
      <c r="W1613">
        <v>3.6310471068055544E-2</v>
      </c>
      <c r="X1613">
        <v>7.0813076830677198E-3</v>
      </c>
      <c r="Y1613">
        <v>1.7160757724718797E-3</v>
      </c>
    </row>
    <row r="1614" spans="1:25" x14ac:dyDescent="0.25">
      <c r="A1614" s="1096"/>
      <c r="B1614" s="1455">
        <v>1364</v>
      </c>
      <c r="C1614" s="1100">
        <v>0.99786710427473935</v>
      </c>
      <c r="D1614" s="1100">
        <v>1.0005531261524814</v>
      </c>
      <c r="E1614" s="1100">
        <v>1.0030917240138566</v>
      </c>
      <c r="F1614" s="1100">
        <v>1.0092227602256583</v>
      </c>
      <c r="G1614" s="1100">
        <v>1.0029299797011648</v>
      </c>
      <c r="H1614" s="1100">
        <v>1.0201745548995242</v>
      </c>
      <c r="I1614" s="1100">
        <v>0.98040108519476921</v>
      </c>
      <c r="K1614">
        <v>1.3275342569242874</v>
      </c>
      <c r="L1614">
        <v>0</v>
      </c>
      <c r="M1614">
        <v>6.1039271676693982E-4</v>
      </c>
      <c r="N1614">
        <v>5.6657943230685917E-2</v>
      </c>
      <c r="O1614">
        <v>7.7775768694810475E-3</v>
      </c>
      <c r="P1614">
        <v>1.640323930213106E-2</v>
      </c>
      <c r="Q1614">
        <v>4.5170331030439917E-4</v>
      </c>
      <c r="R1614">
        <v>6.0862717224328814E-4</v>
      </c>
      <c r="S1614">
        <v>6.0100694474622775E-2</v>
      </c>
      <c r="T1614">
        <v>1.0418074487844715</v>
      </c>
      <c r="U1614">
        <v>0</v>
      </c>
      <c r="V1614">
        <v>9.7917469200538149E-2</v>
      </c>
      <c r="W1614">
        <v>3.7152168749645234E-2</v>
      </c>
      <c r="X1614">
        <v>7.6112960179786368E-3</v>
      </c>
      <c r="Y1614">
        <v>1.6564825289528218E-3</v>
      </c>
    </row>
    <row r="1615" spans="1:25" x14ac:dyDescent="0.25">
      <c r="A1615" s="1096"/>
      <c r="B1615" s="1455">
        <v>1365</v>
      </c>
      <c r="C1615" s="1100">
        <v>0.99784225166129081</v>
      </c>
      <c r="D1615" s="1100">
        <v>1.0179846670329025</v>
      </c>
      <c r="E1615" s="1100">
        <v>1.0176759957569468</v>
      </c>
      <c r="F1615" s="1100">
        <v>0.98492916332766811</v>
      </c>
      <c r="G1615" s="1100">
        <v>1.0228327870314511</v>
      </c>
      <c r="H1615" s="1100">
        <v>1.0177394070540566</v>
      </c>
      <c r="I1615" s="1100">
        <v>1.0087331113649631</v>
      </c>
      <c r="K1615">
        <v>1.3040614788127536</v>
      </c>
      <c r="L1615">
        <v>0</v>
      </c>
      <c r="M1615">
        <v>5.8670857449817616E-4</v>
      </c>
      <c r="N1615">
        <v>5.6910484473976633E-2</v>
      </c>
      <c r="O1615">
        <v>7.7277891117323938E-3</v>
      </c>
      <c r="P1615">
        <v>1.6257531434563398E-2</v>
      </c>
      <c r="Q1615">
        <v>4.5540153289492223E-4</v>
      </c>
      <c r="R1615">
        <v>5.8500747521002163E-4</v>
      </c>
      <c r="S1615">
        <v>6.1210350926509838E-2</v>
      </c>
      <c r="T1615">
        <v>1.0163063632313183</v>
      </c>
      <c r="U1615">
        <v>0</v>
      </c>
      <c r="V1615">
        <v>9.8897405564267613E-2</v>
      </c>
      <c r="W1615">
        <v>3.6998304377090882E-2</v>
      </c>
      <c r="X1615">
        <v>7.7073517598279309E-3</v>
      </c>
      <c r="Y1615">
        <v>1.5921974998593048E-3</v>
      </c>
    </row>
    <row r="1616" spans="1:25" x14ac:dyDescent="0.25">
      <c r="A1616" s="1096"/>
      <c r="B1616" s="1455">
        <v>1366</v>
      </c>
      <c r="C1616" s="1100">
        <v>1.0130328441490031</v>
      </c>
      <c r="D1616" s="1100">
        <v>1.0156734809291965</v>
      </c>
      <c r="E1616" s="1100">
        <v>0.97628177867215649</v>
      </c>
      <c r="F1616" s="1100">
        <v>1.0254448423154456</v>
      </c>
      <c r="G1616" s="1100">
        <v>0.9924799559210794</v>
      </c>
      <c r="H1616" s="1100">
        <v>0.9968092611024153</v>
      </c>
      <c r="I1616" s="1100">
        <v>1.0184727968418856</v>
      </c>
      <c r="K1616">
        <v>1.3379622537777101</v>
      </c>
      <c r="L1616">
        <v>0</v>
      </c>
      <c r="M1616">
        <v>6.1731021299421887E-4</v>
      </c>
      <c r="N1616">
        <v>5.2834969427621142E-2</v>
      </c>
      <c r="O1616">
        <v>7.6088700542712162E-3</v>
      </c>
      <c r="P1616">
        <v>1.6300916577063188E-2</v>
      </c>
      <c r="Q1616">
        <v>4.3008882945621326E-4</v>
      </c>
      <c r="R1616">
        <v>6.1548280628004402E-4</v>
      </c>
      <c r="S1616">
        <v>6.0269697432032358E-2</v>
      </c>
      <c r="T1616">
        <v>1.0593800655890639</v>
      </c>
      <c r="U1616">
        <v>0</v>
      </c>
      <c r="V1616">
        <v>9.7010503001006207E-2</v>
      </c>
      <c r="W1616">
        <v>3.5206417132839382E-2</v>
      </c>
      <c r="X1616">
        <v>7.2474118362273535E-3</v>
      </c>
      <c r="Y1616">
        <v>1.6751413048417185E-3</v>
      </c>
    </row>
    <row r="1617" spans="1:25" x14ac:dyDescent="0.25">
      <c r="A1617" s="1096"/>
      <c r="B1617" s="1455">
        <v>1367</v>
      </c>
      <c r="C1617" s="1100">
        <v>1.0029001583461614</v>
      </c>
      <c r="D1617" s="1100">
        <v>1.0205893492996456</v>
      </c>
      <c r="E1617" s="1100">
        <v>0.99383680434255284</v>
      </c>
      <c r="F1617" s="1100">
        <v>1.0108635459618627</v>
      </c>
      <c r="G1617" s="1100">
        <v>0.97472352860081168</v>
      </c>
      <c r="H1617" s="1100">
        <v>0.97173726617645173</v>
      </c>
      <c r="I1617" s="1100">
        <v>1.0190011652035837</v>
      </c>
      <c r="K1617">
        <v>1.3212414874519851</v>
      </c>
      <c r="L1617">
        <v>0</v>
      </c>
      <c r="M1617">
        <v>5.8504565604461085E-4</v>
      </c>
      <c r="N1617">
        <v>5.279997229244579E-2</v>
      </c>
      <c r="O1617">
        <v>7.6751677665673245E-3</v>
      </c>
      <c r="P1617">
        <v>1.6295238428965114E-2</v>
      </c>
      <c r="Q1617">
        <v>4.4162456018395239E-4</v>
      </c>
      <c r="R1617">
        <v>5.8326907624727583E-4</v>
      </c>
      <c r="S1617">
        <v>5.9998453327286573E-2</v>
      </c>
      <c r="T1617">
        <v>1.0437801050710593</v>
      </c>
      <c r="U1617">
        <v>0</v>
      </c>
      <c r="V1617">
        <v>9.6418020846140165E-2</v>
      </c>
      <c r="W1617">
        <v>3.4813593454944877E-2</v>
      </c>
      <c r="X1617">
        <v>7.4336221332427484E-3</v>
      </c>
      <c r="Y1617">
        <v>1.587466150945775E-3</v>
      </c>
    </row>
    <row r="1618" spans="1:25" x14ac:dyDescent="0.25">
      <c r="A1618" s="1096"/>
      <c r="B1618" s="1455">
        <v>1368</v>
      </c>
      <c r="C1618" s="1100">
        <v>1.0015690063501754</v>
      </c>
      <c r="D1618" s="1100">
        <v>0.96994727472698561</v>
      </c>
      <c r="E1618" s="1100">
        <v>0.95512401898275989</v>
      </c>
      <c r="F1618" s="1100">
        <v>0.96695761442592643</v>
      </c>
      <c r="G1618" s="1100">
        <v>1.0423892233098293</v>
      </c>
      <c r="H1618" s="1100">
        <v>1.0399698630579171</v>
      </c>
      <c r="I1618" s="1100">
        <v>0.97776948401928343</v>
      </c>
      <c r="K1618">
        <v>1.2859197155514366</v>
      </c>
      <c r="L1618">
        <v>0</v>
      </c>
      <c r="M1618">
        <v>6.9312826516407201E-4</v>
      </c>
      <c r="N1618">
        <v>5.5648564508420456E-2</v>
      </c>
      <c r="O1618">
        <v>7.8338623162152732E-3</v>
      </c>
      <c r="P1618">
        <v>1.5297897241578226E-2</v>
      </c>
      <c r="Q1618">
        <v>4.333110276107793E-4</v>
      </c>
      <c r="R1618">
        <v>6.9116157170447015E-4</v>
      </c>
      <c r="S1618">
        <v>6.1269531339602765E-2</v>
      </c>
      <c r="T1618">
        <v>0.99958727533705527</v>
      </c>
      <c r="U1618">
        <v>0</v>
      </c>
      <c r="V1618">
        <v>9.9680949636562655E-2</v>
      </c>
      <c r="W1618">
        <v>3.7563503500189083E-2</v>
      </c>
      <c r="X1618">
        <v>6.7256733808320748E-3</v>
      </c>
      <c r="Y1618">
        <v>1.8811139568286892E-3</v>
      </c>
    </row>
    <row r="1619" spans="1:25" x14ac:dyDescent="0.25">
      <c r="A1619" s="1096"/>
      <c r="B1619" s="1455">
        <v>1369</v>
      </c>
      <c r="C1619" s="1100">
        <v>1.0331133506388785</v>
      </c>
      <c r="D1619" s="1100">
        <v>0.99861392831576423</v>
      </c>
      <c r="E1619" s="1100">
        <v>1.0007911442035962</v>
      </c>
      <c r="F1619" s="1100">
        <v>1.0169831733671648</v>
      </c>
      <c r="G1619" s="1100">
        <v>1.0124811005594552</v>
      </c>
      <c r="H1619" s="1100">
        <v>0.9907645013695332</v>
      </c>
      <c r="I1619" s="1100">
        <v>0.96806633071997306</v>
      </c>
      <c r="K1619">
        <v>1.3253337602982516</v>
      </c>
      <c r="L1619">
        <v>0</v>
      </c>
      <c r="M1619">
        <v>5.7575824064759582E-4</v>
      </c>
      <c r="N1619">
        <v>5.3068409542875089E-2</v>
      </c>
      <c r="O1619">
        <v>7.5175175774891438E-3</v>
      </c>
      <c r="P1619">
        <v>1.6431450852092515E-2</v>
      </c>
      <c r="Q1619">
        <v>4.3559229365400888E-4</v>
      </c>
      <c r="R1619">
        <v>5.7404344037715607E-4</v>
      </c>
      <c r="S1619">
        <v>5.6535332672246488E-2</v>
      </c>
      <c r="T1619">
        <v>1.0498879263315213</v>
      </c>
      <c r="U1619">
        <v>0</v>
      </c>
      <c r="V1619">
        <v>9.7529627289438814E-2</v>
      </c>
      <c r="W1619">
        <v>3.4845953778658831E-2</v>
      </c>
      <c r="X1619">
        <v>7.5213077492081266E-3</v>
      </c>
      <c r="Y1619">
        <v>1.5623570113373561E-3</v>
      </c>
    </row>
    <row r="1620" spans="1:25" x14ac:dyDescent="0.25">
      <c r="A1620" s="1096"/>
      <c r="B1620" s="1455">
        <v>1370</v>
      </c>
      <c r="C1620" s="1100">
        <v>1.0167456838765316</v>
      </c>
      <c r="D1620" s="1100">
        <v>0.99811233156850832</v>
      </c>
      <c r="E1620" s="1100">
        <v>0.96279697193794778</v>
      </c>
      <c r="F1620" s="1100">
        <v>1.0288762155602365</v>
      </c>
      <c r="G1620" s="1100">
        <v>0.97583752929525291</v>
      </c>
      <c r="H1620" s="1100">
        <v>0.9828185683880023</v>
      </c>
      <c r="I1620" s="1100">
        <v>0.99257639143359777</v>
      </c>
      <c r="K1620">
        <v>1.3373186747225854</v>
      </c>
      <c r="L1620">
        <v>0</v>
      </c>
      <c r="M1620">
        <v>6.2790677161132346E-4</v>
      </c>
      <c r="N1620">
        <v>5.158955191458351E-2</v>
      </c>
      <c r="O1620">
        <v>7.6309175997050218E-3</v>
      </c>
      <c r="P1620">
        <v>1.6152194215977318E-2</v>
      </c>
      <c r="Q1620">
        <v>4.2542943404338311E-4</v>
      </c>
      <c r="R1620">
        <v>6.2602153601201368E-4</v>
      </c>
      <c r="S1620">
        <v>5.8642884285941749E-2</v>
      </c>
      <c r="T1620">
        <v>1.0633506086353459</v>
      </c>
      <c r="U1620">
        <v>0</v>
      </c>
      <c r="V1620">
        <v>9.6101548936154996E-2</v>
      </c>
      <c r="W1620">
        <v>3.4659942420188009E-2</v>
      </c>
      <c r="X1620">
        <v>7.0636582631638193E-3</v>
      </c>
      <c r="Y1620">
        <v>1.7038242530808181E-3</v>
      </c>
    </row>
    <row r="1621" spans="1:25" x14ac:dyDescent="0.25">
      <c r="A1621" s="1096"/>
      <c r="B1621" s="1455">
        <v>1371</v>
      </c>
      <c r="C1621" s="1100">
        <v>1.0049348557828572</v>
      </c>
      <c r="D1621" s="1100">
        <v>1.0343376903891277</v>
      </c>
      <c r="E1621" s="1100">
        <v>0.99115894340426869</v>
      </c>
      <c r="F1621" s="1100">
        <v>0.99038501932353074</v>
      </c>
      <c r="G1621" s="1100">
        <v>0.99600641128811773</v>
      </c>
      <c r="H1621" s="1100">
        <v>1.0192860155423134</v>
      </c>
      <c r="I1621" s="1100">
        <v>1.0194337129615432</v>
      </c>
      <c r="K1621">
        <v>1.3051202233711556</v>
      </c>
      <c r="L1621">
        <v>0</v>
      </c>
      <c r="M1621">
        <v>6.1255033859627277E-4</v>
      </c>
      <c r="N1621">
        <v>5.4844347350205547E-2</v>
      </c>
      <c r="O1621">
        <v>7.6180951907020003E-3</v>
      </c>
      <c r="P1621">
        <v>1.6002854642251995E-2</v>
      </c>
      <c r="Q1621">
        <v>4.37157428961367E-4</v>
      </c>
      <c r="R1621">
        <v>6.1077700869594811E-4</v>
      </c>
      <c r="S1621">
        <v>6.0923412258632161E-2</v>
      </c>
      <c r="T1621">
        <v>1.0227142739530612</v>
      </c>
      <c r="U1621">
        <v>0</v>
      </c>
      <c r="V1621">
        <v>9.7394579900243222E-2</v>
      </c>
      <c r="W1621">
        <v>3.6219491819661095E-2</v>
      </c>
      <c r="X1621">
        <v>7.3054504822525658E-3</v>
      </c>
      <c r="Y1621">
        <v>1.6623336750835661E-3</v>
      </c>
    </row>
    <row r="1622" spans="1:25" x14ac:dyDescent="0.25">
      <c r="A1622" s="1096"/>
      <c r="B1622" s="1455">
        <v>1372</v>
      </c>
      <c r="C1622" s="1100">
        <v>1.032870468228362</v>
      </c>
      <c r="D1622" s="1100">
        <v>0.98236347661222245</v>
      </c>
      <c r="E1622" s="1100">
        <v>0.97835495412158036</v>
      </c>
      <c r="F1622" s="1100">
        <v>1.0009403571578133</v>
      </c>
      <c r="G1622" s="1100">
        <v>1.0197589138755887</v>
      </c>
      <c r="H1622" s="1100">
        <v>1.0180739143243567</v>
      </c>
      <c r="I1622" s="1100">
        <v>1.0091296119293307</v>
      </c>
      <c r="K1622">
        <v>1.314485539115215</v>
      </c>
      <c r="L1622">
        <v>0</v>
      </c>
      <c r="M1622">
        <v>6.2399364322406558E-4</v>
      </c>
      <c r="N1622">
        <v>5.3746457274631877E-2</v>
      </c>
      <c r="O1622">
        <v>7.5634333836617504E-3</v>
      </c>
      <c r="P1622">
        <v>1.5997551924932886E-2</v>
      </c>
      <c r="Q1622">
        <v>4.2842369424424276E-4</v>
      </c>
      <c r="R1622">
        <v>6.2218503428111368E-4</v>
      </c>
      <c r="S1622">
        <v>6.0267983405813887E-2</v>
      </c>
      <c r="T1622">
        <v>1.0340014759333815</v>
      </c>
      <c r="U1622">
        <v>0</v>
      </c>
      <c r="V1622">
        <v>9.7862562810717965E-2</v>
      </c>
      <c r="W1622">
        <v>3.5768884126150188E-2</v>
      </c>
      <c r="X1622">
        <v>7.1571926105505378E-3</v>
      </c>
      <c r="Y1622">
        <v>1.6933825600717633E-3</v>
      </c>
    </row>
    <row r="1623" spans="1:25" x14ac:dyDescent="0.25">
      <c r="A1623" s="1096"/>
      <c r="B1623" s="1455">
        <v>1373</v>
      </c>
      <c r="C1623" s="1100">
        <v>0.98553353260755938</v>
      </c>
      <c r="D1623" s="1100">
        <v>0.98188160827608129</v>
      </c>
      <c r="E1623" s="1100">
        <v>1.010278976564712</v>
      </c>
      <c r="F1623" s="1100">
        <v>1.0049017756863723</v>
      </c>
      <c r="G1623" s="1100">
        <v>1.016190482202586</v>
      </c>
      <c r="H1623" s="1100">
        <v>1.0108033760025417</v>
      </c>
      <c r="I1623" s="1100">
        <v>0.97509050589165847</v>
      </c>
      <c r="K1623">
        <v>1.326416895157249</v>
      </c>
      <c r="L1623">
        <v>0</v>
      </c>
      <c r="M1623">
        <v>6.0784641187995863E-4</v>
      </c>
      <c r="N1623">
        <v>5.7657974919246201E-2</v>
      </c>
      <c r="O1623">
        <v>7.9362770497587321E-3</v>
      </c>
      <c r="P1623">
        <v>1.6450293127957392E-2</v>
      </c>
      <c r="Q1623">
        <v>4.6424983454332216E-4</v>
      </c>
      <c r="R1623">
        <v>6.0607193235729696E-4</v>
      </c>
      <c r="S1623">
        <v>6.0858356952918295E-2</v>
      </c>
      <c r="T1623">
        <v>1.0371334123457128</v>
      </c>
      <c r="U1623">
        <v>0</v>
      </c>
      <c r="V1623">
        <v>9.8877932145707947E-2</v>
      </c>
      <c r="W1623">
        <v>3.7647602734515631E-2</v>
      </c>
      <c r="X1623">
        <v>7.7430425180944323E-3</v>
      </c>
      <c r="Y1623">
        <v>1.6495280083177557E-3</v>
      </c>
    </row>
    <row r="1624" spans="1:25" x14ac:dyDescent="0.25">
      <c r="A1624" s="1096"/>
      <c r="B1624" s="1455">
        <v>1374</v>
      </c>
      <c r="C1624" s="1100">
        <v>0.99509417635915942</v>
      </c>
      <c r="D1624" s="1100">
        <v>0.97577081145142741</v>
      </c>
      <c r="E1624" s="1100">
        <v>1.0411506197298008</v>
      </c>
      <c r="F1624" s="1100">
        <v>1.0269288486426507</v>
      </c>
      <c r="G1624" s="1100">
        <v>1.013664818195501</v>
      </c>
      <c r="H1624" s="1100">
        <v>0.98303544225698491</v>
      </c>
      <c r="I1624" s="1100">
        <v>1.0036892358685199</v>
      </c>
      <c r="K1624">
        <v>1.3482381850195502</v>
      </c>
      <c r="L1624">
        <v>0</v>
      </c>
      <c r="M1624">
        <v>5.5038692770053817E-4</v>
      </c>
      <c r="N1624">
        <v>5.7296483735515991E-2</v>
      </c>
      <c r="O1624">
        <v>7.8874001930059612E-3</v>
      </c>
      <c r="P1624">
        <v>1.713468713808617E-2</v>
      </c>
      <c r="Q1624">
        <v>4.7572513365891816E-4</v>
      </c>
      <c r="R1624">
        <v>5.4873480327268854E-4</v>
      </c>
      <c r="S1624">
        <v>6.1416344380086765E-2</v>
      </c>
      <c r="T1624">
        <v>1.0589475325153632</v>
      </c>
      <c r="U1624">
        <v>0</v>
      </c>
      <c r="V1624">
        <v>9.8549096511199405E-2</v>
      </c>
      <c r="W1624">
        <v>3.6744876028365188E-2</v>
      </c>
      <c r="X1624">
        <v>8.29421626456852E-3</v>
      </c>
      <c r="Y1624">
        <v>1.4934752441289748E-3</v>
      </c>
    </row>
    <row r="1625" spans="1:25" x14ac:dyDescent="0.25">
      <c r="A1625" s="1096"/>
      <c r="B1625" s="1455">
        <v>1375</v>
      </c>
      <c r="C1625" s="1100">
        <v>1.0309450521370846</v>
      </c>
      <c r="D1625" s="1100">
        <v>0.96032850482969356</v>
      </c>
      <c r="E1625" s="1100">
        <v>0.99564962971235382</v>
      </c>
      <c r="F1625" s="1100">
        <v>1.0121625837030428</v>
      </c>
      <c r="G1625" s="1100">
        <v>1.0052762556520038</v>
      </c>
      <c r="H1625" s="1100">
        <v>1.0205758798174509</v>
      </c>
      <c r="I1625" s="1100">
        <v>1.0107898809098499</v>
      </c>
      <c r="K1625">
        <v>1.3290530177577722</v>
      </c>
      <c r="L1625">
        <v>0</v>
      </c>
      <c r="M1625">
        <v>6.1016754282931947E-4</v>
      </c>
      <c r="N1625">
        <v>5.5377820208802039E-2</v>
      </c>
      <c r="O1625">
        <v>7.6508101511688336E-3</v>
      </c>
      <c r="P1625">
        <v>1.6363752122268833E-2</v>
      </c>
      <c r="Q1625">
        <v>4.4102829291626703E-4</v>
      </c>
      <c r="R1625">
        <v>6.0840334363087092E-4</v>
      </c>
      <c r="S1625">
        <v>6.1312893274940342E-2</v>
      </c>
      <c r="T1625">
        <v>1.0450665403034298</v>
      </c>
      <c r="U1625">
        <v>0</v>
      </c>
      <c r="V1625">
        <v>9.722585110742038E-2</v>
      </c>
      <c r="W1625">
        <v>3.6473810772473504E-2</v>
      </c>
      <c r="X1625">
        <v>7.4864023822943286E-3</v>
      </c>
      <c r="Y1625">
        <v>1.6558733412549041E-3</v>
      </c>
    </row>
    <row r="1626" spans="1:25" x14ac:dyDescent="0.25">
      <c r="A1626" s="1096"/>
      <c r="B1626" s="1455">
        <v>1376</v>
      </c>
      <c r="C1626" s="1100">
        <v>1.0144754954703341</v>
      </c>
      <c r="D1626" s="1100">
        <v>0.98973260066045576</v>
      </c>
      <c r="E1626" s="1100">
        <v>0.96760742589379478</v>
      </c>
      <c r="F1626" s="1100">
        <v>0.97998486949774977</v>
      </c>
      <c r="G1626" s="1100">
        <v>0.99266084909077212</v>
      </c>
      <c r="H1626" s="1100">
        <v>0.99189077782287571</v>
      </c>
      <c r="I1626" s="1100">
        <v>0.99672676057332443</v>
      </c>
      <c r="K1626">
        <v>1.2893512880175861</v>
      </c>
      <c r="L1626">
        <v>0</v>
      </c>
      <c r="M1626">
        <v>6.3097397049811607E-4</v>
      </c>
      <c r="N1626">
        <v>5.2603900984099464E-2</v>
      </c>
      <c r="O1626">
        <v>7.6749918805583467E-3</v>
      </c>
      <c r="P1626">
        <v>1.5561656029640304E-2</v>
      </c>
      <c r="Q1626">
        <v>4.300012295667526E-4</v>
      </c>
      <c r="R1626">
        <v>6.2909685320943875E-4</v>
      </c>
      <c r="S1626">
        <v>5.9565778903058211E-2</v>
      </c>
      <c r="T1626">
        <v>1.0126758381827057</v>
      </c>
      <c r="U1626">
        <v>0</v>
      </c>
      <c r="V1626">
        <v>9.6974977608560498E-2</v>
      </c>
      <c r="W1626">
        <v>3.5237707553621489E-2</v>
      </c>
      <c r="X1626">
        <v>6.916118510349031E-3</v>
      </c>
      <c r="Y1626">
        <v>1.7121942527141666E-3</v>
      </c>
    </row>
    <row r="1627" spans="1:25" x14ac:dyDescent="0.25">
      <c r="A1627" s="1096"/>
      <c r="B1627" s="1455">
        <v>1377</v>
      </c>
      <c r="C1627" s="1100">
        <v>1.0001470804030077</v>
      </c>
      <c r="D1627" s="1100">
        <v>0.99939535552741965</v>
      </c>
      <c r="E1627" s="1100">
        <v>0.9991398887701668</v>
      </c>
      <c r="F1627" s="1100">
        <v>0.98896274054768007</v>
      </c>
      <c r="G1627" s="1100">
        <v>0.9778994590825737</v>
      </c>
      <c r="H1627" s="1100">
        <v>0.99983535028666537</v>
      </c>
      <c r="I1627" s="1100">
        <v>0.99383590703865432</v>
      </c>
      <c r="K1627">
        <v>1.3027021494812618</v>
      </c>
      <c r="L1627">
        <v>0</v>
      </c>
      <c r="M1627">
        <v>6.0205195863492398E-4</v>
      </c>
      <c r="N1627">
        <v>5.5217283839646032E-2</v>
      </c>
      <c r="O1627">
        <v>7.762471023325921E-3</v>
      </c>
      <c r="P1627">
        <v>1.605555258708849E-2</v>
      </c>
      <c r="Q1627">
        <v>4.4903983376836455E-4</v>
      </c>
      <c r="R1627">
        <v>6.0027511461774438E-4</v>
      </c>
      <c r="S1627">
        <v>6.0201894224309015E-2</v>
      </c>
      <c r="T1627">
        <v>1.021009494145144</v>
      </c>
      <c r="U1627">
        <v>0</v>
      </c>
      <c r="V1627">
        <v>9.6645542836414911E-2</v>
      </c>
      <c r="W1627">
        <v>3.6292556280760148E-2</v>
      </c>
      <c r="X1627">
        <v>7.4363405734715346E-3</v>
      </c>
      <c r="Y1627">
        <v>1.6337509813511483E-3</v>
      </c>
    </row>
    <row r="1628" spans="1:25" x14ac:dyDescent="0.25">
      <c r="A1628" s="1096"/>
      <c r="B1628" s="1455">
        <v>1378</v>
      </c>
      <c r="C1628" s="1100">
        <v>0.98367127234276575</v>
      </c>
      <c r="D1628" s="1100">
        <v>0.98734879549384902</v>
      </c>
      <c r="E1628" s="1100">
        <v>0.97923581852834807</v>
      </c>
      <c r="F1628" s="1100">
        <v>0.97961777645453707</v>
      </c>
      <c r="G1628" s="1100">
        <v>0.99911021068356154</v>
      </c>
      <c r="H1628" s="1100">
        <v>0.99915647396621965</v>
      </c>
      <c r="I1628" s="1100">
        <v>0.98360815774058019</v>
      </c>
      <c r="K1628">
        <v>1.2960418955674</v>
      </c>
      <c r="L1628">
        <v>0</v>
      </c>
      <c r="M1628">
        <v>6.4056025538760709E-4</v>
      </c>
      <c r="N1628">
        <v>5.5317602051790073E-2</v>
      </c>
      <c r="O1628">
        <v>7.925881340028966E-3</v>
      </c>
      <c r="P1628">
        <v>1.5723840630171571E-2</v>
      </c>
      <c r="Q1628">
        <v>4.4935662620970246E-4</v>
      </c>
      <c r="R1628">
        <v>6.3866847682278092E-4</v>
      </c>
      <c r="S1628">
        <v>6.0935409052205611E-2</v>
      </c>
      <c r="T1628">
        <v>1.0119483776405866</v>
      </c>
      <c r="U1628">
        <v>0</v>
      </c>
      <c r="V1628">
        <v>9.8064437314661732E-2</v>
      </c>
      <c r="W1628">
        <v>3.6794904379311648E-2</v>
      </c>
      <c r="X1628">
        <v>7.1457332540933579E-3</v>
      </c>
      <c r="Y1628">
        <v>1.7382450569048081E-3</v>
      </c>
    </row>
    <row r="1629" spans="1:25" x14ac:dyDescent="0.25">
      <c r="A1629" s="1096"/>
      <c r="B1629" s="1455">
        <v>1379</v>
      </c>
      <c r="C1629" s="1100">
        <v>1.0305353608392145</v>
      </c>
      <c r="D1629" s="1100">
        <v>0.99702757211572135</v>
      </c>
      <c r="E1629" s="1100">
        <v>1.0056490438623928</v>
      </c>
      <c r="F1629" s="1100">
        <v>1.0060613894846178</v>
      </c>
      <c r="G1629" s="1100">
        <v>1.0184348702457784</v>
      </c>
      <c r="H1629" s="1100">
        <v>0.98803083960218108</v>
      </c>
      <c r="I1629" s="1100">
        <v>0.96179919278462656</v>
      </c>
      <c r="K1629">
        <v>1.3142917593696235</v>
      </c>
      <c r="L1629">
        <v>0</v>
      </c>
      <c r="M1629">
        <v>5.7019448551366291E-4</v>
      </c>
      <c r="N1629">
        <v>5.3331998974737935E-2</v>
      </c>
      <c r="O1629">
        <v>7.5422766246326925E-3</v>
      </c>
      <c r="P1629">
        <v>1.6335928527343929E-2</v>
      </c>
      <c r="Q1629">
        <v>4.3916235432908365E-4</v>
      </c>
      <c r="R1629">
        <v>5.6849155733982128E-4</v>
      </c>
      <c r="S1629">
        <v>5.6284353317520693E-2</v>
      </c>
      <c r="T1629">
        <v>1.0384677617271889</v>
      </c>
      <c r="U1629">
        <v>0</v>
      </c>
      <c r="V1629">
        <v>9.7883063227617709E-2</v>
      </c>
      <c r="W1629">
        <v>3.4918324996735348E-2</v>
      </c>
      <c r="X1629">
        <v>7.5433459318017633E-3</v>
      </c>
      <c r="Y1629">
        <v>1.5472466158874825E-3</v>
      </c>
    </row>
    <row r="1630" spans="1:25" x14ac:dyDescent="0.25">
      <c r="A1630" s="1096"/>
      <c r="B1630" s="1455">
        <v>1380</v>
      </c>
      <c r="C1630" s="1100">
        <v>1.0082520611459103</v>
      </c>
      <c r="D1630" s="1100">
        <v>1.0152769858352186</v>
      </c>
      <c r="E1630" s="1100">
        <v>1.0188311405628117</v>
      </c>
      <c r="F1630" s="1100">
        <v>1.0364838740005262</v>
      </c>
      <c r="G1630" s="1100">
        <v>0.98217006721570455</v>
      </c>
      <c r="H1630" s="1100">
        <v>1.0180747827732692</v>
      </c>
      <c r="I1630" s="1100">
        <v>0.96218300717720884</v>
      </c>
      <c r="K1630">
        <v>1.3517086569062038</v>
      </c>
      <c r="L1630">
        <v>0</v>
      </c>
      <c r="M1630">
        <v>5.800660345807036E-4</v>
      </c>
      <c r="N1630">
        <v>5.646265979942322E-2</v>
      </c>
      <c r="O1630">
        <v>7.656435203323657E-3</v>
      </c>
      <c r="P1630">
        <v>1.6929673805252947E-2</v>
      </c>
      <c r="Q1630">
        <v>4.5171556205355191E-4</v>
      </c>
      <c r="R1630">
        <v>5.7838474866679624E-4</v>
      </c>
      <c r="S1630">
        <v>5.7875999853051356E-2</v>
      </c>
      <c r="T1630">
        <v>1.0694684806326507</v>
      </c>
      <c r="U1630">
        <v>0</v>
      </c>
      <c r="V1630">
        <v>9.6674825787160051E-2</v>
      </c>
      <c r="W1630">
        <v>3.668233410658342E-2</v>
      </c>
      <c r="X1630">
        <v>7.934040821227362E-3</v>
      </c>
      <c r="Y1630">
        <v>1.5741726213898636E-3</v>
      </c>
    </row>
    <row r="1631" spans="1:25" x14ac:dyDescent="0.25">
      <c r="A1631" s="1096"/>
      <c r="B1631" s="1455">
        <v>1381</v>
      </c>
      <c r="C1631" s="1100">
        <v>0.95857044971304672</v>
      </c>
      <c r="D1631" s="1100">
        <v>1.039096511169453</v>
      </c>
      <c r="E1631" s="1100">
        <v>0.98102240713066469</v>
      </c>
      <c r="F1631" s="1100">
        <v>0.98398291401437821</v>
      </c>
      <c r="G1631" s="1100">
        <v>0.9843389124434947</v>
      </c>
      <c r="H1631" s="1100">
        <v>1.0124437159111288</v>
      </c>
      <c r="I1631" s="1100">
        <v>1.0175667401257977</v>
      </c>
      <c r="K1631">
        <v>1.304990063063538</v>
      </c>
      <c r="L1631">
        <v>0</v>
      </c>
      <c r="M1631">
        <v>6.5019671206916689E-4</v>
      </c>
      <c r="N1631">
        <v>5.6456326068712856E-2</v>
      </c>
      <c r="O1631">
        <v>7.9693679459090904E-3</v>
      </c>
      <c r="P1631">
        <v>1.5837124757741166E-2</v>
      </c>
      <c r="Q1631">
        <v>4.5264323596373973E-4</v>
      </c>
      <c r="R1631">
        <v>6.4830167504998986E-4</v>
      </c>
      <c r="S1631">
        <v>6.3368405428263677E-2</v>
      </c>
      <c r="T1631">
        <v>1.0164042089617906</v>
      </c>
      <c r="U1631">
        <v>0</v>
      </c>
      <c r="V1631">
        <v>9.8011453608827404E-2</v>
      </c>
      <c r="W1631">
        <v>3.7511850046183737E-2</v>
      </c>
      <c r="X1631">
        <v>7.216114600269199E-3</v>
      </c>
      <c r="Y1631">
        <v>1.7644634468963287E-3</v>
      </c>
    </row>
    <row r="1632" spans="1:25" x14ac:dyDescent="0.25">
      <c r="A1632" s="1096"/>
      <c r="B1632" s="1455">
        <v>1382</v>
      </c>
      <c r="C1632" s="1100">
        <v>0.98979009973619692</v>
      </c>
      <c r="D1632" s="1100">
        <v>0.99398533175419879</v>
      </c>
      <c r="E1632" s="1100">
        <v>0.97926730946480789</v>
      </c>
      <c r="F1632" s="1100">
        <v>1.0225376347683615</v>
      </c>
      <c r="G1632" s="1100">
        <v>1.0275420614230015</v>
      </c>
      <c r="H1632" s="1100">
        <v>1.0281399810010823</v>
      </c>
      <c r="I1632" s="1100">
        <v>0.96783987539873639</v>
      </c>
      <c r="K1632">
        <v>1.3435094668124172</v>
      </c>
      <c r="L1632">
        <v>0</v>
      </c>
      <c r="M1632">
        <v>6.5327131090195845E-4</v>
      </c>
      <c r="N1632">
        <v>5.6425392413253721E-2</v>
      </c>
      <c r="O1632">
        <v>7.8558128787824776E-3</v>
      </c>
      <c r="P1632">
        <v>1.6326591328460725E-2</v>
      </c>
      <c r="Q1632">
        <v>4.4539836727197093E-4</v>
      </c>
      <c r="R1632">
        <v>6.5139638047632226E-4</v>
      </c>
      <c r="S1632">
        <v>6.0241264243966357E-2</v>
      </c>
      <c r="T1632">
        <v>1.0562837536945664</v>
      </c>
      <c r="U1632">
        <v>0</v>
      </c>
      <c r="V1632">
        <v>9.9284032012259285E-2</v>
      </c>
      <c r="W1632">
        <v>3.7531045094412852E-2</v>
      </c>
      <c r="X1632">
        <v>7.3451654949715636E-3</v>
      </c>
      <c r="Y1632">
        <v>1.7728862148974356E-3</v>
      </c>
    </row>
    <row r="1633" spans="1:25" x14ac:dyDescent="0.25">
      <c r="A1633" s="1096"/>
      <c r="B1633" s="1455">
        <v>1383</v>
      </c>
      <c r="C1633" s="1100">
        <v>1.0143121834790529</v>
      </c>
      <c r="D1633" s="1100">
        <v>0.97864904587664703</v>
      </c>
      <c r="E1633" s="1100">
        <v>0.97699283919010615</v>
      </c>
      <c r="F1633" s="1100">
        <v>1.0052435400777873</v>
      </c>
      <c r="G1633" s="1100">
        <v>0.98110237806339429</v>
      </c>
      <c r="H1633" s="1100">
        <v>0.99659545405660388</v>
      </c>
      <c r="I1633" s="1100">
        <v>1.0444770704291515</v>
      </c>
      <c r="K1633">
        <v>1.3202515001259891</v>
      </c>
      <c r="L1633">
        <v>0</v>
      </c>
      <c r="M1633">
        <v>6.2470478107424154E-4</v>
      </c>
      <c r="N1633">
        <v>5.3583013631503487E-2</v>
      </c>
      <c r="O1633">
        <v>7.7131653630453396E-3</v>
      </c>
      <c r="P1633">
        <v>1.6058107287607655E-2</v>
      </c>
      <c r="Q1633">
        <v>4.3629988614014885E-4</v>
      </c>
      <c r="R1633">
        <v>6.2285508767695008E-4</v>
      </c>
      <c r="S1633">
        <v>6.2967027241833479E-2</v>
      </c>
      <c r="T1633">
        <v>1.0384884631409435</v>
      </c>
      <c r="U1633">
        <v>0</v>
      </c>
      <c r="V1633">
        <v>9.6430109942955047E-2</v>
      </c>
      <c r="W1633">
        <v>3.5689506370240466E-2</v>
      </c>
      <c r="X1633">
        <v>7.1924507305853825E-3</v>
      </c>
      <c r="Y1633">
        <v>1.6952062245321876E-3</v>
      </c>
    </row>
    <row r="1634" spans="1:25" x14ac:dyDescent="0.25">
      <c r="A1634" s="1096"/>
      <c r="B1634" s="1455">
        <v>1384</v>
      </c>
      <c r="C1634" s="1100">
        <v>0.98017306189635445</v>
      </c>
      <c r="D1634" s="1100">
        <v>0.9725479253098569</v>
      </c>
      <c r="E1634" s="1100">
        <v>0.99703967129211435</v>
      </c>
      <c r="F1634" s="1100">
        <v>1.0207667987347939</v>
      </c>
      <c r="G1634" s="1100">
        <v>1.0261917510561867</v>
      </c>
      <c r="H1634" s="1100">
        <v>0.99331345719139552</v>
      </c>
      <c r="I1634" s="1100">
        <v>1.0011022145095283</v>
      </c>
      <c r="K1634">
        <v>1.3439519214775064</v>
      </c>
      <c r="L1634">
        <v>0</v>
      </c>
      <c r="M1634">
        <v>6.1969055947312169E-4</v>
      </c>
      <c r="N1634">
        <v>5.6474374493890069E-2</v>
      </c>
      <c r="O1634">
        <v>8.0068701937460636E-3</v>
      </c>
      <c r="P1634">
        <v>1.6549130424648856E-2</v>
      </c>
      <c r="Q1634">
        <v>4.6219991070861025E-4</v>
      </c>
      <c r="R1634">
        <v>6.178496502263585E-4</v>
      </c>
      <c r="S1634">
        <v>6.2581121864665787E-2</v>
      </c>
      <c r="T1634">
        <v>1.0539080774818048</v>
      </c>
      <c r="U1634">
        <v>0</v>
      </c>
      <c r="V1634">
        <v>9.948432914403349E-2</v>
      </c>
      <c r="W1634">
        <v>3.716523446687485E-2</v>
      </c>
      <c r="X1634">
        <v>7.6408413325466142E-3</v>
      </c>
      <c r="Y1634">
        <v>1.6815830738336898E-3</v>
      </c>
    </row>
    <row r="1635" spans="1:25" x14ac:dyDescent="0.25">
      <c r="A1635" s="1096"/>
      <c r="B1635" s="1455">
        <v>1385</v>
      </c>
      <c r="C1635" s="1100">
        <v>0.95499441435362198</v>
      </c>
      <c r="D1635" s="1100">
        <v>0.96069436869792757</v>
      </c>
      <c r="E1635" s="1100">
        <v>1.0006430494865013</v>
      </c>
      <c r="F1635" s="1100">
        <v>0.97695000314570923</v>
      </c>
      <c r="G1635" s="1100">
        <v>1.0057989631547422</v>
      </c>
      <c r="H1635" s="1100">
        <v>1.0016991325042568</v>
      </c>
      <c r="I1635" s="1100">
        <v>0.99175667328761641</v>
      </c>
      <c r="K1635">
        <v>1.3037269341334712</v>
      </c>
      <c r="L1635">
        <v>0</v>
      </c>
      <c r="M1635">
        <v>6.3975331083882675E-4</v>
      </c>
      <c r="N1635">
        <v>5.8942466963909437E-2</v>
      </c>
      <c r="O1635">
        <v>8.2593241320497533E-3</v>
      </c>
      <c r="P1635">
        <v>1.599450200993174E-2</v>
      </c>
      <c r="Q1635">
        <v>4.785040538204696E-4</v>
      </c>
      <c r="R1635">
        <v>6.3786871137681811E-4</v>
      </c>
      <c r="S1635">
        <v>6.4326448475639258E-2</v>
      </c>
      <c r="T1635">
        <v>1.008563775914344</v>
      </c>
      <c r="U1635">
        <v>0</v>
      </c>
      <c r="V1635">
        <v>9.9168494630028386E-2</v>
      </c>
      <c r="W1635">
        <v>3.8706401536148134E-2</v>
      </c>
      <c r="X1635">
        <v>7.552832658056426E-3</v>
      </c>
      <c r="Y1635">
        <v>1.7360683590035056E-3</v>
      </c>
    </row>
    <row r="1636" spans="1:25" x14ac:dyDescent="0.25">
      <c r="A1636" s="1096"/>
      <c r="B1636" s="1455">
        <v>1386</v>
      </c>
      <c r="C1636" s="1100">
        <v>1.0005557916001266</v>
      </c>
      <c r="D1636" s="1100">
        <v>1.0116534162458266</v>
      </c>
      <c r="E1636" s="1100">
        <v>1.0124341990125132</v>
      </c>
      <c r="F1636" s="1100">
        <v>1.0294031883309327</v>
      </c>
      <c r="G1636" s="1100">
        <v>1.006486188084889</v>
      </c>
      <c r="H1636" s="1100">
        <v>1.0088125324422554</v>
      </c>
      <c r="I1636" s="1100">
        <v>0.98413784550921979</v>
      </c>
      <c r="K1636">
        <v>1.3469836522253802</v>
      </c>
      <c r="L1636">
        <v>0</v>
      </c>
      <c r="M1636">
        <v>5.8780562349676512E-4</v>
      </c>
      <c r="N1636">
        <v>5.6120594014851526E-2</v>
      </c>
      <c r="O1636">
        <v>7.7248046887121629E-3</v>
      </c>
      <c r="P1636">
        <v>1.679310972434167E-2</v>
      </c>
      <c r="Q1636">
        <v>4.5285316562181284E-4</v>
      </c>
      <c r="R1636">
        <v>5.8608626243867765E-4</v>
      </c>
      <c r="S1636">
        <v>5.948296314523268E-2</v>
      </c>
      <c r="T1636">
        <v>1.0623554063422953</v>
      </c>
      <c r="U1636">
        <v>0</v>
      </c>
      <c r="V1636">
        <v>9.8033243939824169E-2</v>
      </c>
      <c r="W1636">
        <v>3.6597283753949238E-2</v>
      </c>
      <c r="X1636">
        <v>7.8299792085347753E-3</v>
      </c>
      <c r="Y1636">
        <v>1.595133603073592E-3</v>
      </c>
    </row>
    <row r="1637" spans="1:25" x14ac:dyDescent="0.25">
      <c r="A1637" s="1096"/>
      <c r="B1637" s="1455">
        <v>1387</v>
      </c>
      <c r="C1637" s="1100">
        <v>1.0114921894264803</v>
      </c>
      <c r="D1637" s="1100">
        <v>1.0103546791076035</v>
      </c>
      <c r="E1637" s="1100">
        <v>0.97751256669261533</v>
      </c>
      <c r="F1637" s="1100">
        <v>0.98155324604483218</v>
      </c>
      <c r="G1637" s="1100">
        <v>0.97068973209786069</v>
      </c>
      <c r="H1637" s="1100">
        <v>1.0290039465650951</v>
      </c>
      <c r="I1637" s="1100">
        <v>1.0066435557768481</v>
      </c>
      <c r="K1637">
        <v>1.294664517433205</v>
      </c>
      <c r="L1637">
        <v>0</v>
      </c>
      <c r="M1637">
        <v>6.3793554359342316E-4</v>
      </c>
      <c r="N1637">
        <v>5.4809116112197999E-2</v>
      </c>
      <c r="O1637">
        <v>7.6367771235763644E-3</v>
      </c>
      <c r="P1637">
        <v>1.5701209571176277E-2</v>
      </c>
      <c r="Q1637">
        <v>4.3220754149969653E-4</v>
      </c>
      <c r="R1637">
        <v>6.361061650619152E-4</v>
      </c>
      <c r="S1637">
        <v>6.0803777599578883E-2</v>
      </c>
      <c r="T1637">
        <v>1.0139991640035104</v>
      </c>
      <c r="U1637">
        <v>0</v>
      </c>
      <c r="V1637">
        <v>9.5995115334527759E-2</v>
      </c>
      <c r="W1637">
        <v>3.6494684614462945E-2</v>
      </c>
      <c r="X1637">
        <v>7.0630236222472267E-3</v>
      </c>
      <c r="Y1637">
        <v>1.7312712889575768E-3</v>
      </c>
    </row>
    <row r="1638" spans="1:25" x14ac:dyDescent="0.25">
      <c r="A1638" s="1096"/>
      <c r="B1638" s="1455">
        <v>1388</v>
      </c>
      <c r="C1638" s="1100">
        <v>1.0053874473396036</v>
      </c>
      <c r="D1638" s="1100">
        <v>1.0169713116048933</v>
      </c>
      <c r="E1638" s="1100">
        <v>0.97867090178818583</v>
      </c>
      <c r="F1638" s="1100">
        <v>0.97873757078600687</v>
      </c>
      <c r="G1638" s="1100">
        <v>0.97531820238328326</v>
      </c>
      <c r="H1638" s="1100">
        <v>1.0114330572335222</v>
      </c>
      <c r="I1638" s="1100">
        <v>1.0070548887077404</v>
      </c>
      <c r="K1638">
        <v>1.290546267309294</v>
      </c>
      <c r="L1638">
        <v>0</v>
      </c>
      <c r="M1638">
        <v>6.2770001786919692E-4</v>
      </c>
      <c r="N1638">
        <v>5.4116380128756324E-2</v>
      </c>
      <c r="O1638">
        <v>7.6633933440765105E-3</v>
      </c>
      <c r="P1638">
        <v>1.5675857167005092E-2</v>
      </c>
      <c r="Q1638">
        <v>4.3422536901438724E-4</v>
      </c>
      <c r="R1638">
        <v>6.2586872073596767E-4</v>
      </c>
      <c r="S1638">
        <v>6.045254252057182E-2</v>
      </c>
      <c r="T1638">
        <v>1.0110559273694466</v>
      </c>
      <c r="U1638">
        <v>0</v>
      </c>
      <c r="V1638">
        <v>9.6368981730279898E-2</v>
      </c>
      <c r="W1638">
        <v>3.6008193750763022E-2</v>
      </c>
      <c r="X1638">
        <v>7.0691888862397202E-3</v>
      </c>
      <c r="Y1638">
        <v>1.7034083402749621E-3</v>
      </c>
    </row>
    <row r="1639" spans="1:25" x14ac:dyDescent="0.25">
      <c r="A1639" s="1096"/>
      <c r="B1639" s="1455">
        <v>1389</v>
      </c>
      <c r="C1639" s="1100">
        <v>0.96443860202869824</v>
      </c>
      <c r="D1639" s="1100">
        <v>1.0116201302009686</v>
      </c>
      <c r="E1639" s="1100">
        <v>1.004223828571952</v>
      </c>
      <c r="F1639" s="1100">
        <v>1.0063453090352896</v>
      </c>
      <c r="G1639" s="1100">
        <v>0.96751308233829991</v>
      </c>
      <c r="H1639" s="1100">
        <v>1.0204583116880546</v>
      </c>
      <c r="I1639" s="1100">
        <v>1.0015335029127213</v>
      </c>
      <c r="K1639">
        <v>1.330040018979735</v>
      </c>
      <c r="L1639">
        <v>0</v>
      </c>
      <c r="M1639">
        <v>6.2747564727870541E-4</v>
      </c>
      <c r="N1639">
        <v>5.8443163997216038E-2</v>
      </c>
      <c r="O1639">
        <v>8.0121129966447251E-3</v>
      </c>
      <c r="P1639">
        <v>1.6406205641710761E-2</v>
      </c>
      <c r="Q1639">
        <v>4.6585336941018757E-4</v>
      </c>
      <c r="R1639">
        <v>6.2566119551908423E-4</v>
      </c>
      <c r="S1639">
        <v>6.3161722320044106E-2</v>
      </c>
      <c r="T1639">
        <v>1.0388033066696336</v>
      </c>
      <c r="U1639">
        <v>0</v>
      </c>
      <c r="V1639">
        <v>9.7066226598935337E-2</v>
      </c>
      <c r="W1639">
        <v>3.8297084058900872E-2</v>
      </c>
      <c r="X1639">
        <v>7.6833142539540324E-3</v>
      </c>
      <c r="Y1639">
        <v>1.7028435250452754E-3</v>
      </c>
    </row>
    <row r="1640" spans="1:25" x14ac:dyDescent="0.25">
      <c r="A1640" s="1096"/>
      <c r="B1640" s="1455">
        <v>1390</v>
      </c>
      <c r="C1640" s="1100">
        <v>1.0085998413063972</v>
      </c>
      <c r="D1640" s="1100">
        <v>1.0174929296914026</v>
      </c>
      <c r="E1640" s="1100">
        <v>1.0168484843085606</v>
      </c>
      <c r="F1640" s="1100">
        <v>1.014063979039515</v>
      </c>
      <c r="G1640" s="1100">
        <v>0.98254438247187681</v>
      </c>
      <c r="H1640" s="1100">
        <v>0.98652547551269187</v>
      </c>
      <c r="I1640" s="1100">
        <v>1.0243292292427693</v>
      </c>
      <c r="K1640">
        <v>1.3276723992998261</v>
      </c>
      <c r="L1640">
        <v>0</v>
      </c>
      <c r="M1640">
        <v>5.6372659580910037E-4</v>
      </c>
      <c r="N1640">
        <v>5.4539859244382149E-2</v>
      </c>
      <c r="O1640">
        <v>7.6466427554774353E-3</v>
      </c>
      <c r="P1640">
        <v>1.6623395101145789E-2</v>
      </c>
      <c r="Q1640">
        <v>4.5024843191461539E-4</v>
      </c>
      <c r="R1640">
        <v>5.620404154031872E-4</v>
      </c>
      <c r="S1640">
        <v>6.0547280985836768E-2</v>
      </c>
      <c r="T1640">
        <v>1.0463938828373378</v>
      </c>
      <c r="U1640">
        <v>0</v>
      </c>
      <c r="V1640">
        <v>9.6682248004150331E-2</v>
      </c>
      <c r="W1640">
        <v>3.547433498089763E-2</v>
      </c>
      <c r="X1640">
        <v>7.7865044049349238E-3</v>
      </c>
      <c r="Y1640">
        <v>1.5296887341543321E-3</v>
      </c>
    </row>
    <row r="1641" spans="1:25" x14ac:dyDescent="0.25">
      <c r="A1641" s="1096"/>
      <c r="B1641" s="1455">
        <v>1391</v>
      </c>
      <c r="C1641" s="1100">
        <v>0.99253876044265088</v>
      </c>
      <c r="D1641" s="1100">
        <v>0.99697867944884366</v>
      </c>
      <c r="E1641" s="1100">
        <v>0.99796685467700774</v>
      </c>
      <c r="F1641" s="1100">
        <v>0.98602912934054399</v>
      </c>
      <c r="G1641" s="1100">
        <v>0.99415561071516567</v>
      </c>
      <c r="H1641" s="1100">
        <v>0.98986854048017425</v>
      </c>
      <c r="I1641" s="1100">
        <v>1.005897551886423</v>
      </c>
      <c r="K1641">
        <v>1.3014756555852571</v>
      </c>
      <c r="L1641">
        <v>0</v>
      </c>
      <c r="M1641">
        <v>6.0266571804167273E-4</v>
      </c>
      <c r="N1641">
        <v>5.5076370356500093E-2</v>
      </c>
      <c r="O1641">
        <v>7.829262631872197E-3</v>
      </c>
      <c r="P1641">
        <v>1.6027183015318108E-2</v>
      </c>
      <c r="Q1641">
        <v>4.523694283433959E-4</v>
      </c>
      <c r="R1641">
        <v>6.0086915366396379E-4</v>
      </c>
      <c r="S1641">
        <v>6.1169440129578347E-2</v>
      </c>
      <c r="T1641">
        <v>1.0180152985345869</v>
      </c>
      <c r="U1641">
        <v>0</v>
      </c>
      <c r="V1641">
        <v>9.7620593667436015E-2</v>
      </c>
      <c r="W1641">
        <v>3.6225214151323903E-2</v>
      </c>
      <c r="X1641">
        <v>7.4263524748641582E-3</v>
      </c>
      <c r="Y1641">
        <v>1.6353677598100387E-3</v>
      </c>
    </row>
    <row r="1642" spans="1:25" x14ac:dyDescent="0.25">
      <c r="A1642" s="1096"/>
      <c r="B1642" s="1455">
        <v>1392</v>
      </c>
      <c r="C1642" s="1100">
        <v>1.0260351664794223</v>
      </c>
      <c r="D1642" s="1100">
        <v>1.043310136418141</v>
      </c>
      <c r="E1642" s="1100">
        <v>0.9986384761953242</v>
      </c>
      <c r="F1642" s="1100">
        <v>1.0084871225892322</v>
      </c>
      <c r="G1642" s="1100">
        <v>0.98183315053613451</v>
      </c>
      <c r="H1642" s="1100">
        <v>1.00765649126127</v>
      </c>
      <c r="I1642" s="1100">
        <v>1.0380996094609918</v>
      </c>
      <c r="K1642">
        <v>1.3190744118537838</v>
      </c>
      <c r="L1642">
        <v>0</v>
      </c>
      <c r="M1642">
        <v>5.8197027478013464E-4</v>
      </c>
      <c r="N1642">
        <v>5.3295911113658556E-2</v>
      </c>
      <c r="O1642">
        <v>7.4374539811590023E-3</v>
      </c>
      <c r="P1642">
        <v>1.6317574116411358E-2</v>
      </c>
      <c r="Q1642">
        <v>4.3002147531631148E-4</v>
      </c>
      <c r="R1642">
        <v>5.8026602944378093E-4</v>
      </c>
      <c r="S1642">
        <v>6.013758443550081E-2</v>
      </c>
      <c r="T1642">
        <v>1.04118162025442</v>
      </c>
      <c r="U1642">
        <v>0</v>
      </c>
      <c r="V1642">
        <v>9.6210089016786918E-2</v>
      </c>
      <c r="W1642">
        <v>3.5040149377880046E-2</v>
      </c>
      <c r="X1642">
        <v>7.4464194804855673E-3</v>
      </c>
      <c r="Y1642">
        <v>1.5792928475007748E-3</v>
      </c>
    </row>
    <row r="1643" spans="1:25" x14ac:dyDescent="0.25">
      <c r="A1643" s="1096"/>
      <c r="B1643" s="1455">
        <v>1393</v>
      </c>
      <c r="C1643" s="1100">
        <v>0.98603005783583131</v>
      </c>
      <c r="D1643" s="1100">
        <v>0.97656343680106117</v>
      </c>
      <c r="E1643" s="1100">
        <v>1.0175141115506325</v>
      </c>
      <c r="F1643" s="1100">
        <v>1.0276653102555031</v>
      </c>
      <c r="G1643" s="1100">
        <v>1.0014598632692757</v>
      </c>
      <c r="H1643" s="1100">
        <v>1.0430137594651294</v>
      </c>
      <c r="I1643" s="1100">
        <v>1.0243581293457853</v>
      </c>
      <c r="K1643">
        <v>1.357729947473439</v>
      </c>
      <c r="L1643">
        <v>0</v>
      </c>
      <c r="M1643">
        <v>6.1888528519395136E-4</v>
      </c>
      <c r="N1643">
        <v>6.000652413630677E-2</v>
      </c>
      <c r="O1643">
        <v>7.9513538285608063E-3</v>
      </c>
      <c r="P1643">
        <v>1.6908919210436753E-2</v>
      </c>
      <c r="Q1643">
        <v>4.6850078141684096E-4</v>
      </c>
      <c r="R1643">
        <v>6.1713437473257112E-4</v>
      </c>
      <c r="S1643">
        <v>6.5126772329786711E-2</v>
      </c>
      <c r="T1643">
        <v>1.0604088339232285</v>
      </c>
      <c r="U1643">
        <v>0</v>
      </c>
      <c r="V1643">
        <v>9.816076010399935E-2</v>
      </c>
      <c r="W1643">
        <v>3.9014785140737945E-2</v>
      </c>
      <c r="X1643">
        <v>8.0056125996960555E-3</v>
      </c>
      <c r="Y1643">
        <v>1.6796363297301032E-3</v>
      </c>
    </row>
    <row r="1644" spans="1:25" x14ac:dyDescent="0.25">
      <c r="A1644" s="1096"/>
      <c r="B1644" s="1455">
        <v>1394</v>
      </c>
      <c r="C1644" s="1100">
        <v>1.0282224400761377</v>
      </c>
      <c r="D1644" s="1100">
        <v>1.0343704427894915</v>
      </c>
      <c r="E1644" s="1100">
        <v>1.0301178278634826</v>
      </c>
      <c r="F1644" s="1100">
        <v>1.0166727541668354</v>
      </c>
      <c r="G1644" s="1100">
        <v>1.0447045095428351</v>
      </c>
      <c r="H1644" s="1100">
        <v>1.0080508810571291</v>
      </c>
      <c r="I1644" s="1100">
        <v>0.99323210606209533</v>
      </c>
      <c r="K1644">
        <v>1.3302774299443807</v>
      </c>
      <c r="L1644">
        <v>0</v>
      </c>
      <c r="M1644">
        <v>5.4603426213134542E-4</v>
      </c>
      <c r="N1644">
        <v>5.498875597746572E-2</v>
      </c>
      <c r="O1644">
        <v>7.4546542113167746E-3</v>
      </c>
      <c r="P1644">
        <v>1.6813613575217906E-2</v>
      </c>
      <c r="Q1644">
        <v>4.4476132764676172E-4</v>
      </c>
      <c r="R1644">
        <v>5.4443587763238204E-4</v>
      </c>
      <c r="S1644">
        <v>5.7721625126758241E-2</v>
      </c>
      <c r="T1644">
        <v>1.0486936864060366</v>
      </c>
      <c r="U1644">
        <v>0</v>
      </c>
      <c r="V1644">
        <v>9.9235640955549667E-2</v>
      </c>
      <c r="W1644">
        <v>3.5490473846936453E-2</v>
      </c>
      <c r="X1644">
        <v>7.954041916274867E-3</v>
      </c>
      <c r="Y1644">
        <v>1.4817749856765169E-3</v>
      </c>
    </row>
    <row r="1645" spans="1:25" x14ac:dyDescent="0.25">
      <c r="A1645" s="1096"/>
      <c r="B1645" s="1455">
        <v>1395</v>
      </c>
      <c r="C1645" s="1100">
        <v>0.9981841740488997</v>
      </c>
      <c r="D1645" s="1100">
        <v>0.98852442451492217</v>
      </c>
      <c r="E1645" s="1100">
        <v>0.97544291041287623</v>
      </c>
      <c r="F1645" s="1100">
        <v>1.0167092557411261</v>
      </c>
      <c r="G1645" s="1100">
        <v>1.0313424906906106</v>
      </c>
      <c r="H1645" s="1100">
        <v>1.0027039078204179</v>
      </c>
      <c r="I1645" s="1100">
        <v>1.0016761271649486</v>
      </c>
      <c r="K1645">
        <v>1.3350989074042225</v>
      </c>
      <c r="L1645">
        <v>0</v>
      </c>
      <c r="M1645">
        <v>6.3817011556863894E-4</v>
      </c>
      <c r="N1645">
        <v>5.448279889586724E-2</v>
      </c>
      <c r="O1645">
        <v>7.8059939694028694E-3</v>
      </c>
      <c r="P1645">
        <v>1.6212770756214665E-2</v>
      </c>
      <c r="Q1645">
        <v>4.4085428186301878E-4</v>
      </c>
      <c r="R1645">
        <v>6.3629206373756004E-4</v>
      </c>
      <c r="S1645">
        <v>6.1218890937925131E-2</v>
      </c>
      <c r="T1645">
        <v>1.0503813924936993</v>
      </c>
      <c r="U1645">
        <v>0</v>
      </c>
      <c r="V1645">
        <v>9.9253104346582438E-2</v>
      </c>
      <c r="W1645">
        <v>3.6322897510342698E-2</v>
      </c>
      <c r="X1645">
        <v>7.2503050202841731E-3</v>
      </c>
      <c r="Y1645">
        <v>1.7317772438712005E-3</v>
      </c>
    </row>
    <row r="1646" spans="1:25" x14ac:dyDescent="0.25">
      <c r="A1646" s="1096"/>
      <c r="B1646" s="1455">
        <v>1396</v>
      </c>
      <c r="C1646" s="1100">
        <v>0.96899168232827326</v>
      </c>
      <c r="D1646" s="1100">
        <v>0.9909911548588205</v>
      </c>
      <c r="E1646" s="1100">
        <v>0.98655793626590149</v>
      </c>
      <c r="F1646" s="1100">
        <v>0.99710214699822919</v>
      </c>
      <c r="G1646" s="1100">
        <v>0.99151922065393427</v>
      </c>
      <c r="H1646" s="1100">
        <v>1.0217351122482923</v>
      </c>
      <c r="I1646" s="1100">
        <v>1.0421276375300979</v>
      </c>
      <c r="K1646">
        <v>1.3238092249151121</v>
      </c>
      <c r="L1646">
        <v>0</v>
      </c>
      <c r="M1646">
        <v>6.5399822554609778E-4</v>
      </c>
      <c r="N1646">
        <v>5.774677937602752E-2</v>
      </c>
      <c r="O1646">
        <v>8.0359676631175502E-3</v>
      </c>
      <c r="P1646">
        <v>1.6123099993300236E-2</v>
      </c>
      <c r="Q1646">
        <v>4.589957497910035E-4</v>
      </c>
      <c r="R1646">
        <v>6.5210944252517514E-4</v>
      </c>
      <c r="S1646">
        <v>6.6161110653731162E-2</v>
      </c>
      <c r="T1646">
        <v>1.0297887477376304</v>
      </c>
      <c r="U1646">
        <v>0</v>
      </c>
      <c r="V1646">
        <v>9.8086995566651153E-2</v>
      </c>
      <c r="W1646">
        <v>3.8241627678788713E-2</v>
      </c>
      <c r="X1646">
        <v>7.3929623443626585E-3</v>
      </c>
      <c r="Y1646">
        <v>1.774826934733572E-3</v>
      </c>
    </row>
    <row r="1647" spans="1:25" x14ac:dyDescent="0.25">
      <c r="A1647" s="1096"/>
      <c r="B1647" s="1455">
        <v>1397</v>
      </c>
      <c r="C1647" s="1100">
        <v>1.0193933891809146</v>
      </c>
      <c r="D1647" s="1100">
        <v>1.0185095836193421</v>
      </c>
      <c r="E1647" s="1100">
        <v>1.0415148983165037</v>
      </c>
      <c r="F1647" s="1100">
        <v>1.0023645261325147</v>
      </c>
      <c r="G1647" s="1100">
        <v>1.0179628727369068</v>
      </c>
      <c r="H1647" s="1100">
        <v>0.99474726979976125</v>
      </c>
      <c r="I1647" s="1100">
        <v>1.0156338811325869</v>
      </c>
      <c r="K1647">
        <v>1.3170538030718246</v>
      </c>
      <c r="L1647">
        <v>0</v>
      </c>
      <c r="M1647">
        <v>5.3401927055084588E-4</v>
      </c>
      <c r="N1647">
        <v>5.5655579102687251E-2</v>
      </c>
      <c r="O1647">
        <v>7.5685791512632473E-3</v>
      </c>
      <c r="P1647">
        <v>1.675244329960595E-2</v>
      </c>
      <c r="Q1647">
        <v>4.566590032195036E-4</v>
      </c>
      <c r="R1647">
        <v>5.3243515086232485E-4</v>
      </c>
      <c r="S1647">
        <v>5.9638007299311423E-2</v>
      </c>
      <c r="T1647">
        <v>1.033606895707283</v>
      </c>
      <c r="U1647">
        <v>0</v>
      </c>
      <c r="V1647">
        <v>9.8163437552030358E-2</v>
      </c>
      <c r="W1647">
        <v>3.5685065689064356E-2</v>
      </c>
      <c r="X1647">
        <v>8.0796074236009971E-3</v>
      </c>
      <c r="Y1647">
        <v>1.4491129634469381E-3</v>
      </c>
    </row>
    <row r="1648" spans="1:25" x14ac:dyDescent="0.25">
      <c r="A1648" s="1096"/>
      <c r="B1648" s="1455">
        <v>1398</v>
      </c>
      <c r="C1648" s="1100">
        <v>1.0426018138805213</v>
      </c>
      <c r="D1648" s="1100">
        <v>0.96002766629394209</v>
      </c>
      <c r="E1648" s="1100">
        <v>0.96940350816038257</v>
      </c>
      <c r="F1648" s="1100">
        <v>0.97627335599324916</v>
      </c>
      <c r="G1648" s="1100">
        <v>1.0010363821913864</v>
      </c>
      <c r="H1648" s="1100">
        <v>1.0122533331588601</v>
      </c>
      <c r="I1648" s="1100">
        <v>1.0001934438754674</v>
      </c>
      <c r="K1648">
        <v>1.2857839666685946</v>
      </c>
      <c r="L1648">
        <v>0</v>
      </c>
      <c r="M1648">
        <v>6.3189307064642579E-4</v>
      </c>
      <c r="N1648">
        <v>5.2971011538114114E-2</v>
      </c>
      <c r="O1648">
        <v>7.5599552878518102E-3</v>
      </c>
      <c r="P1648">
        <v>1.5530116839264812E-2</v>
      </c>
      <c r="Q1648">
        <v>4.2433505783380027E-4</v>
      </c>
      <c r="R1648">
        <v>6.3005103429799366E-4</v>
      </c>
      <c r="S1648">
        <v>5.9728880924911895E-2</v>
      </c>
      <c r="T1648">
        <v>1.0087866686148428</v>
      </c>
      <c r="U1648">
        <v>0</v>
      </c>
      <c r="V1648">
        <v>9.6723337792682815E-2</v>
      </c>
      <c r="W1648">
        <v>3.5444809480083619E-2</v>
      </c>
      <c r="X1648">
        <v>6.9019019502665844E-3</v>
      </c>
      <c r="Y1648">
        <v>1.7147912190915019E-3</v>
      </c>
    </row>
    <row r="1649" spans="1:25" x14ac:dyDescent="0.25">
      <c r="A1649" s="1096"/>
      <c r="B1649" s="1455">
        <v>1399</v>
      </c>
      <c r="C1649" s="1100">
        <v>1.0092537025829114</v>
      </c>
      <c r="D1649" s="1100">
        <v>1.0073981825918099</v>
      </c>
      <c r="E1649" s="1100">
        <v>1.0355445862676884</v>
      </c>
      <c r="F1649" s="1100">
        <v>0.99266945457780187</v>
      </c>
      <c r="G1649" s="1100">
        <v>1.0281701092049726</v>
      </c>
      <c r="H1649" s="1100">
        <v>0.96919070375649896</v>
      </c>
      <c r="I1649" s="1100">
        <v>0.96383743289692603</v>
      </c>
      <c r="K1649">
        <v>1.303370217715689</v>
      </c>
      <c r="L1649">
        <v>0</v>
      </c>
      <c r="M1649">
        <v>5.3445389324523716E-4</v>
      </c>
      <c r="N1649">
        <v>5.470366514429377E-2</v>
      </c>
      <c r="O1649">
        <v>7.6767788560161065E-3</v>
      </c>
      <c r="P1649">
        <v>1.6512737410238766E-2</v>
      </c>
      <c r="Q1649">
        <v>4.6047398113523928E-4</v>
      </c>
      <c r="R1649">
        <v>5.3282667867779758E-4</v>
      </c>
      <c r="S1649">
        <v>5.6753380531628345E-2</v>
      </c>
      <c r="T1649">
        <v>1.0237792827077319</v>
      </c>
      <c r="U1649">
        <v>0</v>
      </c>
      <c r="V1649">
        <v>9.8894986850424318E-2</v>
      </c>
      <c r="W1649">
        <v>3.5195674316190736E-2</v>
      </c>
      <c r="X1649">
        <v>7.9446865595030301E-3</v>
      </c>
      <c r="Y1649">
        <v>1.4501785730935449E-3</v>
      </c>
    </row>
    <row r="1650" spans="1:25" x14ac:dyDescent="0.25">
      <c r="A1650" s="1096"/>
      <c r="B1650" s="1455">
        <v>1400</v>
      </c>
      <c r="C1650" s="1100">
        <v>1.03394399179492</v>
      </c>
      <c r="D1650" s="1100">
        <v>0.9969569245113824</v>
      </c>
      <c r="E1650" s="1100">
        <v>0.99590334179006113</v>
      </c>
      <c r="F1650" s="1100">
        <v>0.98302992663759536</v>
      </c>
      <c r="G1650" s="1100">
        <v>0.9799513638661822</v>
      </c>
      <c r="H1650" s="1100">
        <v>0.97979758494217617</v>
      </c>
      <c r="I1650" s="1100">
        <v>0.99953725932878101</v>
      </c>
      <c r="K1650">
        <v>1.2882692272204577</v>
      </c>
      <c r="L1650">
        <v>0</v>
      </c>
      <c r="M1650">
        <v>5.7510564831585306E-4</v>
      </c>
      <c r="N1650">
        <v>5.2229392039557898E-2</v>
      </c>
      <c r="O1650">
        <v>7.5153079882301658E-3</v>
      </c>
      <c r="P1650">
        <v>1.5895752876543393E-2</v>
      </c>
      <c r="Q1650">
        <v>4.333280724021751E-4</v>
      </c>
      <c r="R1650">
        <v>5.733736196054446E-4</v>
      </c>
      <c r="S1650">
        <v>5.8049683288243101E-2</v>
      </c>
      <c r="T1650">
        <v>1.0149793672461167</v>
      </c>
      <c r="U1650">
        <v>0</v>
      </c>
      <c r="V1650">
        <v>9.5931304990193367E-2</v>
      </c>
      <c r="W1650">
        <v>3.4394939277129298E-2</v>
      </c>
      <c r="X1650">
        <v>7.2813494907495828E-3</v>
      </c>
      <c r="Y1650">
        <v>1.5605339800031156E-3</v>
      </c>
    </row>
    <row r="1651" spans="1:25" x14ac:dyDescent="0.25">
      <c r="A1651" s="1096"/>
      <c r="B1651" s="1455">
        <v>1401</v>
      </c>
      <c r="C1651" s="1100">
        <v>1.0046397070129933</v>
      </c>
      <c r="D1651" s="1100">
        <v>1.014075309993024</v>
      </c>
      <c r="E1651" s="1100">
        <v>0.97059863748420516</v>
      </c>
      <c r="F1651" s="1100">
        <v>1.0380451641553854</v>
      </c>
      <c r="G1651" s="1100">
        <v>0.98804523746562212</v>
      </c>
      <c r="H1651" s="1100">
        <v>1.0130165711285293</v>
      </c>
      <c r="I1651" s="1100">
        <v>1.0097141462655452</v>
      </c>
      <c r="K1651">
        <v>1.3537757902285834</v>
      </c>
      <c r="L1651">
        <v>0</v>
      </c>
      <c r="M1651">
        <v>6.4046137785887271E-4</v>
      </c>
      <c r="N1651">
        <v>5.3884041767915759E-2</v>
      </c>
      <c r="O1651">
        <v>7.6758968529966028E-3</v>
      </c>
      <c r="P1651">
        <v>1.6413043067328766E-2</v>
      </c>
      <c r="Q1651">
        <v>4.3136937930476644E-4</v>
      </c>
      <c r="R1651">
        <v>6.3859577063813105E-4</v>
      </c>
      <c r="S1651">
        <v>6.0790346811625852E-2</v>
      </c>
      <c r="T1651">
        <v>1.0725776535448639</v>
      </c>
      <c r="U1651">
        <v>0</v>
      </c>
      <c r="V1651">
        <v>9.6994061409292204E-2</v>
      </c>
      <c r="W1651">
        <v>3.6029533622226037E-2</v>
      </c>
      <c r="X1651">
        <v>7.2436622056104745E-3</v>
      </c>
      <c r="Y1651">
        <v>1.7380471746377786E-3</v>
      </c>
    </row>
    <row r="1652" spans="1:25" x14ac:dyDescent="0.25">
      <c r="A1652" s="1096"/>
      <c r="B1652" s="1455">
        <v>1402</v>
      </c>
      <c r="C1652" s="1100">
        <v>1.0336761516485897</v>
      </c>
      <c r="D1652" s="1100">
        <v>0.99141658096061325</v>
      </c>
      <c r="E1652" s="1100">
        <v>0.96335783510287643</v>
      </c>
      <c r="F1652" s="1100">
        <v>0.98151878547597871</v>
      </c>
      <c r="G1652" s="1100">
        <v>1.0134346809299797</v>
      </c>
      <c r="H1652" s="1100">
        <v>1.0296921366428675</v>
      </c>
      <c r="I1652" s="1100">
        <v>0.98297625433350466</v>
      </c>
      <c r="K1652">
        <v>1.2918454985537295</v>
      </c>
      <c r="L1652">
        <v>0</v>
      </c>
      <c r="M1652">
        <v>6.4807318618180054E-4</v>
      </c>
      <c r="N1652">
        <v>5.3344307600049615E-2</v>
      </c>
      <c r="O1652">
        <v>7.5263007333165955E-3</v>
      </c>
      <c r="P1652">
        <v>1.5529282688467694E-2</v>
      </c>
      <c r="Q1652">
        <v>4.198384975252685E-4</v>
      </c>
      <c r="R1652">
        <v>6.4621597848359526E-4</v>
      </c>
      <c r="S1652">
        <v>5.8697099735012553E-2</v>
      </c>
      <c r="T1652">
        <v>1.0143893862057567</v>
      </c>
      <c r="U1652">
        <v>0</v>
      </c>
      <c r="V1652">
        <v>9.7521561607238766E-2</v>
      </c>
      <c r="W1652">
        <v>3.582655875561834E-2</v>
      </c>
      <c r="X1652">
        <v>6.8342330700467222E-3</v>
      </c>
      <c r="Y1652">
        <v>1.758786868392291E-3</v>
      </c>
    </row>
    <row r="1653" spans="1:25" x14ac:dyDescent="0.25">
      <c r="A1653" s="1096"/>
      <c r="B1653" s="1455">
        <v>1403</v>
      </c>
      <c r="C1653" s="1100">
        <v>0.99793803304454431</v>
      </c>
      <c r="D1653" s="1100">
        <v>0.95889870059237448</v>
      </c>
      <c r="E1653" s="1100">
        <v>1.0102965044013283</v>
      </c>
      <c r="F1653" s="1100">
        <v>0.9900788284768679</v>
      </c>
      <c r="G1653" s="1100">
        <v>0.9730689472362718</v>
      </c>
      <c r="H1653" s="1100">
        <v>1.0122581485416469</v>
      </c>
      <c r="I1653" s="1100">
        <v>0.98288809604581096</v>
      </c>
      <c r="K1653">
        <v>1.3087615641887445</v>
      </c>
      <c r="L1653">
        <v>0</v>
      </c>
      <c r="M1653">
        <v>6.0685513208459272E-4</v>
      </c>
      <c r="N1653">
        <v>5.7567234253828314E-2</v>
      </c>
      <c r="O1653">
        <v>7.9122399699567535E-3</v>
      </c>
      <c r="P1653">
        <v>1.6214731456142134E-2</v>
      </c>
      <c r="Q1653">
        <v>4.6285184163901365E-4</v>
      </c>
      <c r="R1653">
        <v>6.0508609243884696E-4</v>
      </c>
      <c r="S1653">
        <v>6.1401732555740371E-2</v>
      </c>
      <c r="T1653">
        <v>1.0218345165449234</v>
      </c>
      <c r="U1653">
        <v>0</v>
      </c>
      <c r="V1653">
        <v>9.6479095594876871E-2</v>
      </c>
      <c r="W1653">
        <v>3.7587965474073969E-2</v>
      </c>
      <c r="X1653">
        <v>7.6561206601653805E-3</v>
      </c>
      <c r="Y1653">
        <v>1.6468448770417768E-3</v>
      </c>
    </row>
    <row r="1654" spans="1:25" x14ac:dyDescent="0.25">
      <c r="A1654" s="1096"/>
      <c r="B1654" s="1455">
        <v>1404</v>
      </c>
      <c r="C1654" s="1100">
        <v>0.96255158069835767</v>
      </c>
      <c r="D1654" s="1100">
        <v>0.96518249459928607</v>
      </c>
      <c r="E1654" s="1100">
        <v>0.96513004409212277</v>
      </c>
      <c r="F1654" s="1100">
        <v>0.98470158634251459</v>
      </c>
      <c r="G1654" s="1100">
        <v>0.98104569236697936</v>
      </c>
      <c r="H1654" s="1100">
        <v>0.99383414287865335</v>
      </c>
      <c r="I1654" s="1100">
        <v>1.0325342551707202</v>
      </c>
      <c r="K1654">
        <v>1.3080511697604762</v>
      </c>
      <c r="L1654">
        <v>0</v>
      </c>
      <c r="M1654">
        <v>6.7649143506536588E-4</v>
      </c>
      <c r="N1654">
        <v>5.5977400814704974E-2</v>
      </c>
      <c r="O1654">
        <v>8.1700549003788439E-3</v>
      </c>
      <c r="P1654">
        <v>1.5693030514361279E-2</v>
      </c>
      <c r="Q1654">
        <v>4.565778624764781E-4</v>
      </c>
      <c r="R1654">
        <v>6.7448284084788287E-4</v>
      </c>
      <c r="S1654">
        <v>6.5980323322403306E-2</v>
      </c>
      <c r="T1654">
        <v>1.0176249659706815</v>
      </c>
      <c r="U1654">
        <v>0</v>
      </c>
      <c r="V1654">
        <v>9.7727567759533659E-2</v>
      </c>
      <c r="W1654">
        <v>3.7554255182732504E-2</v>
      </c>
      <c r="X1654">
        <v>7.033282077841335E-3</v>
      </c>
      <c r="Y1654">
        <v>1.8357199495792069E-3</v>
      </c>
    </row>
    <row r="1655" spans="1:25" x14ac:dyDescent="0.25">
      <c r="A1655" s="1096"/>
      <c r="B1655" s="1455">
        <v>1405</v>
      </c>
      <c r="C1655" s="1100">
        <v>0.96543278277391831</v>
      </c>
      <c r="D1655" s="1100">
        <v>0.96657360663177849</v>
      </c>
      <c r="E1655" s="1100">
        <v>1.0206796364636133</v>
      </c>
      <c r="F1655" s="1100">
        <v>1.0311592865101502</v>
      </c>
      <c r="G1655" s="1100">
        <v>1.0260413426388244</v>
      </c>
      <c r="H1655" s="1100">
        <v>1.0302257536260615</v>
      </c>
      <c r="I1655" s="1100">
        <v>0.98471312872782457</v>
      </c>
      <c r="K1655">
        <v>1.3636818633816623</v>
      </c>
      <c r="L1655">
        <v>0</v>
      </c>
      <c r="M1655">
        <v>6.2279741563036901E-4</v>
      </c>
      <c r="N1655">
        <v>6.0963161297577111E-2</v>
      </c>
      <c r="O1655">
        <v>8.1552819671259769E-3</v>
      </c>
      <c r="P1655">
        <v>1.7003707623981151E-2</v>
      </c>
      <c r="Q1655">
        <v>4.8203172291583126E-4</v>
      </c>
      <c r="R1655">
        <v>6.2101356610193672E-4</v>
      </c>
      <c r="S1655">
        <v>6.389356568750075E-2</v>
      </c>
      <c r="T1655">
        <v>1.0639188294364403</v>
      </c>
      <c r="U1655">
        <v>0</v>
      </c>
      <c r="V1655">
        <v>9.9890085646956894E-2</v>
      </c>
      <c r="W1655">
        <v>3.9563375957346977E-2</v>
      </c>
      <c r="X1655">
        <v>8.1234136814823006E-3</v>
      </c>
      <c r="Y1655">
        <v>1.6901942098624253E-3</v>
      </c>
    </row>
    <row r="1656" spans="1:25" x14ac:dyDescent="0.25">
      <c r="A1656" s="1096"/>
      <c r="B1656" s="1455">
        <v>1406</v>
      </c>
      <c r="C1656" s="1100">
        <v>0.96349747027143007</v>
      </c>
      <c r="D1656" s="1100">
        <v>0.9612324649049685</v>
      </c>
      <c r="E1656" s="1100">
        <v>0.98343090892701401</v>
      </c>
      <c r="F1656" s="1100">
        <v>1.0178603744185741</v>
      </c>
      <c r="G1656" s="1100">
        <v>0.97804260189554226</v>
      </c>
      <c r="H1656" s="1100">
        <v>1.0226751587244907</v>
      </c>
      <c r="I1656" s="1100">
        <v>1.0210349907866874</v>
      </c>
      <c r="K1656">
        <v>1.3470954035319498</v>
      </c>
      <c r="L1656">
        <v>0</v>
      </c>
      <c r="M1656">
        <v>6.707371448150892E-4</v>
      </c>
      <c r="N1656">
        <v>5.8667451267007127E-2</v>
      </c>
      <c r="O1656">
        <v>8.1801510588954945E-3</v>
      </c>
      <c r="P1656">
        <v>1.6369997242613076E-2</v>
      </c>
      <c r="Q1656">
        <v>4.6575262923196563E-4</v>
      </c>
      <c r="R1656">
        <v>6.6880179948292345E-4</v>
      </c>
      <c r="S1656">
        <v>6.6292472802466487E-2</v>
      </c>
      <c r="T1656">
        <v>1.0513236279067557</v>
      </c>
      <c r="U1656">
        <v>0</v>
      </c>
      <c r="V1656">
        <v>9.7577414679429181E-2</v>
      </c>
      <c r="W1656">
        <v>3.8924460947856926E-2</v>
      </c>
      <c r="X1656">
        <v>7.4757523152864528E-3</v>
      </c>
      <c r="Y1656">
        <v>1.8202580277385709E-3</v>
      </c>
    </row>
    <row r="1657" spans="1:25" x14ac:dyDescent="0.25">
      <c r="A1657" s="1096"/>
      <c r="B1657" s="1455">
        <v>1407</v>
      </c>
      <c r="C1657" s="1100">
        <v>1.0257640606511045</v>
      </c>
      <c r="D1657" s="1100">
        <v>1.0360074509711674</v>
      </c>
      <c r="E1657" s="1100">
        <v>0.99402821020048959</v>
      </c>
      <c r="F1657" s="1100">
        <v>1.0128666238024324</v>
      </c>
      <c r="G1657" s="1100">
        <v>0.9727214570963405</v>
      </c>
      <c r="H1657" s="1100">
        <v>0.995560502777602</v>
      </c>
      <c r="I1657" s="1100">
        <v>1.0135169834785109</v>
      </c>
      <c r="K1657">
        <v>1.3206113003615561</v>
      </c>
      <c r="L1657">
        <v>0</v>
      </c>
      <c r="M1657">
        <v>5.822932752598865E-4</v>
      </c>
      <c r="N1657">
        <v>5.2585816112684591E-2</v>
      </c>
      <c r="O1657">
        <v>7.4592641430415328E-3</v>
      </c>
      <c r="P1657">
        <v>1.6297595838675887E-2</v>
      </c>
      <c r="Q1657">
        <v>4.2928445806953341E-4</v>
      </c>
      <c r="R1657">
        <v>5.8056736609638079E-4</v>
      </c>
      <c r="S1657">
        <v>5.8585842631843625E-2</v>
      </c>
      <c r="T1657">
        <v>1.0458426031590331</v>
      </c>
      <c r="U1657">
        <v>0</v>
      </c>
      <c r="V1657">
        <v>9.5770630933095235E-2</v>
      </c>
      <c r="W1657">
        <v>3.4668426758743404E-2</v>
      </c>
      <c r="X1657">
        <v>7.3934492489986341E-3</v>
      </c>
      <c r="Y1657">
        <v>1.58011298653355E-3</v>
      </c>
    </row>
    <row r="1658" spans="1:25" x14ac:dyDescent="0.25">
      <c r="A1658" s="1096"/>
      <c r="B1658" s="1455">
        <v>1408</v>
      </c>
      <c r="C1658" s="1100">
        <v>0.9728694839926485</v>
      </c>
      <c r="D1658" s="1100">
        <v>1.0158527328796259</v>
      </c>
      <c r="E1658" s="1100">
        <v>1.0196756460603962</v>
      </c>
      <c r="F1658" s="1100">
        <v>1.0399910763188203</v>
      </c>
      <c r="G1658" s="1100">
        <v>1.0362895939163133</v>
      </c>
      <c r="H1658" s="1100">
        <v>1.0048275807943101</v>
      </c>
      <c r="I1658" s="1100">
        <v>1.0416730639234493</v>
      </c>
      <c r="K1658">
        <v>1.3682621187206205</v>
      </c>
      <c r="L1658">
        <v>0</v>
      </c>
      <c r="M1658">
        <v>5.9216444751992959E-4</v>
      </c>
      <c r="N1658">
        <v>5.7785129478483535E-2</v>
      </c>
      <c r="O1658">
        <v>7.9333075405312089E-3</v>
      </c>
      <c r="P1658">
        <v>1.713007526375275E-2</v>
      </c>
      <c r="Q1658">
        <v>4.6844380272063484E-4</v>
      </c>
      <c r="R1658">
        <v>5.9042546746576694E-4</v>
      </c>
      <c r="S1658">
        <v>6.4486861434091783E-2</v>
      </c>
      <c r="T1658">
        <v>1.0730616549831569</v>
      </c>
      <c r="U1658">
        <v>0</v>
      </c>
      <c r="V1658">
        <v>0.10018848895011073</v>
      </c>
      <c r="W1658">
        <v>3.7522953720589933E-2</v>
      </c>
      <c r="X1658">
        <v>8.0799990384977909E-3</v>
      </c>
      <c r="Y1658">
        <v>1.6069434887387767E-3</v>
      </c>
    </row>
    <row r="1659" spans="1:25" x14ac:dyDescent="0.25">
      <c r="A1659" s="1096"/>
      <c r="B1659" s="1455">
        <v>1409</v>
      </c>
      <c r="C1659" s="1100">
        <v>1.0137723803600287</v>
      </c>
      <c r="D1659" s="1100">
        <v>1.0135422306149322</v>
      </c>
      <c r="E1659" s="1100">
        <v>0.99265617695101216</v>
      </c>
      <c r="F1659" s="1100">
        <v>1.0055264820315521</v>
      </c>
      <c r="G1659" s="1100">
        <v>1.0302617567305159</v>
      </c>
      <c r="H1659" s="1100">
        <v>0.96700044602923596</v>
      </c>
      <c r="I1659" s="1100">
        <v>1.0382296835066187</v>
      </c>
      <c r="K1659">
        <v>1.3173687152680085</v>
      </c>
      <c r="L1659">
        <v>0</v>
      </c>
      <c r="M1659">
        <v>5.7896319132693004E-4</v>
      </c>
      <c r="N1659">
        <v>5.2064121240584578E-2</v>
      </c>
      <c r="O1659">
        <v>7.6136444800788995E-3</v>
      </c>
      <c r="P1659">
        <v>1.6246900089125622E-2</v>
      </c>
      <c r="Q1659">
        <v>4.3756301569891978E-4</v>
      </c>
      <c r="R1659">
        <v>5.7719646981359133E-4</v>
      </c>
      <c r="S1659">
        <v>6.055233349950799E-2</v>
      </c>
      <c r="T1659">
        <v>1.0383048261628178</v>
      </c>
      <c r="U1659">
        <v>0</v>
      </c>
      <c r="V1659">
        <v>9.8838368977859484E-2</v>
      </c>
      <c r="W1659">
        <v>3.4352636680112611E-2</v>
      </c>
      <c r="X1659">
        <v>7.3891493256675765E-3</v>
      </c>
      <c r="Y1659">
        <v>1.5709385180674583E-3</v>
      </c>
    </row>
    <row r="1660" spans="1:25" x14ac:dyDescent="0.25">
      <c r="A1660" s="1096"/>
      <c r="B1660" s="1455">
        <v>1410</v>
      </c>
      <c r="C1660" s="1100">
        <v>1.0151602068693326</v>
      </c>
      <c r="D1660" s="1100">
        <v>0.99412568730623496</v>
      </c>
      <c r="E1660" s="1100">
        <v>0.97293797658086323</v>
      </c>
      <c r="F1660" s="1100">
        <v>0.99830714921706387</v>
      </c>
      <c r="G1660" s="1100">
        <v>0.98351035672394671</v>
      </c>
      <c r="H1660" s="1100">
        <v>0.97051606508083288</v>
      </c>
      <c r="I1660" s="1100">
        <v>0.97822362980070787</v>
      </c>
      <c r="K1660">
        <v>1.3043337263739374</v>
      </c>
      <c r="L1660">
        <v>0</v>
      </c>
      <c r="M1660">
        <v>6.0912780962319715E-4</v>
      </c>
      <c r="N1660">
        <v>5.160548929517067E-2</v>
      </c>
      <c r="O1660">
        <v>7.6575256536232095E-3</v>
      </c>
      <c r="P1660">
        <v>1.584460507078608E-2</v>
      </c>
      <c r="Q1660">
        <v>4.3136609942309137E-4</v>
      </c>
      <c r="R1660">
        <v>6.0727577322679813E-4</v>
      </c>
      <c r="S1660">
        <v>5.7656610189495472E-2</v>
      </c>
      <c r="T1660">
        <v>1.0314461948975644</v>
      </c>
      <c r="U1660">
        <v>0</v>
      </c>
      <c r="V1660">
        <v>9.652174665419487E-2</v>
      </c>
      <c r="W1660">
        <v>3.4456955006231714E-2</v>
      </c>
      <c r="X1660">
        <v>7.0622810775248825E-3</v>
      </c>
      <c r="Y1660">
        <v>1.6528044663185017E-3</v>
      </c>
    </row>
    <row r="1661" spans="1:25" x14ac:dyDescent="0.25">
      <c r="A1661" s="1096"/>
      <c r="B1661" s="1455">
        <v>1411</v>
      </c>
      <c r="C1661" s="1100">
        <v>1.0090359892346694</v>
      </c>
      <c r="D1661" s="1100">
        <v>1.0148775341147684</v>
      </c>
      <c r="E1661" s="1100">
        <v>1.0092003442518132</v>
      </c>
      <c r="F1661" s="1100">
        <v>1.025492854168133</v>
      </c>
      <c r="G1661" s="1100">
        <v>0.99347932633636482</v>
      </c>
      <c r="H1661" s="1100">
        <v>0.98092294070506736</v>
      </c>
      <c r="I1661" s="1100">
        <v>0.97833091543572126</v>
      </c>
      <c r="K1661">
        <v>1.3364138603022981</v>
      </c>
      <c r="L1661">
        <v>0</v>
      </c>
      <c r="M1661">
        <v>5.6984686718253665E-4</v>
      </c>
      <c r="N1661">
        <v>5.3872942734284363E-2</v>
      </c>
      <c r="O1661">
        <v>7.6493570246428362E-3</v>
      </c>
      <c r="P1661">
        <v>1.666305392652671E-2</v>
      </c>
      <c r="Q1661">
        <v>4.4698353591594164E-4</v>
      </c>
      <c r="R1661">
        <v>5.6813264507406779E-4</v>
      </c>
      <c r="S1661">
        <v>5.7711210303051985E-2</v>
      </c>
      <c r="T1661">
        <v>1.058417541123962</v>
      </c>
      <c r="U1661">
        <v>0</v>
      </c>
      <c r="V1661">
        <v>9.7192146807849142E-2</v>
      </c>
      <c r="W1661">
        <v>3.5198562556519826E-2</v>
      </c>
      <c r="X1661">
        <v>7.7175067366371305E-3</v>
      </c>
      <c r="Y1661">
        <v>1.5462697750154982E-3</v>
      </c>
    </row>
    <row r="1662" spans="1:25" x14ac:dyDescent="0.25">
      <c r="A1662" s="1096"/>
      <c r="B1662" s="1455">
        <v>1412</v>
      </c>
      <c r="C1662" s="1100">
        <v>1.0171909673109023</v>
      </c>
      <c r="D1662" s="1100">
        <v>0.99693246778679634</v>
      </c>
      <c r="E1662" s="1100">
        <v>0.98272548719511654</v>
      </c>
      <c r="F1662" s="1100">
        <v>1.0056135859373005</v>
      </c>
      <c r="G1662" s="1100">
        <v>0.99215107735105856</v>
      </c>
      <c r="H1662" s="1100">
        <v>0.9735180928927385</v>
      </c>
      <c r="I1662" s="1100">
        <v>1.0253683500540247</v>
      </c>
      <c r="K1662">
        <v>1.3156242628094104</v>
      </c>
      <c r="L1662">
        <v>0</v>
      </c>
      <c r="M1662">
        <v>5.9690557783129183E-4</v>
      </c>
      <c r="N1662">
        <v>5.2090713264061013E-2</v>
      </c>
      <c r="O1662">
        <v>7.6359805892419396E-3</v>
      </c>
      <c r="P1662">
        <v>1.6101754110256057E-2</v>
      </c>
      <c r="Q1662">
        <v>4.3445815697197636E-4</v>
      </c>
      <c r="R1662">
        <v>5.9509629930702668E-4</v>
      </c>
      <c r="S1662">
        <v>6.0325129672977804E-2</v>
      </c>
      <c r="T1662">
        <v>1.038695686472717</v>
      </c>
      <c r="U1662">
        <v>0</v>
      </c>
      <c r="V1662">
        <v>9.6901699028036137E-2</v>
      </c>
      <c r="W1662">
        <v>3.4575639935826727E-2</v>
      </c>
      <c r="X1662">
        <v>7.2453549045744092E-3</v>
      </c>
      <c r="Y1662">
        <v>1.6196559532713831E-3</v>
      </c>
    </row>
    <row r="1663" spans="1:25" x14ac:dyDescent="0.25">
      <c r="A1663" s="1096"/>
      <c r="B1663" s="1455">
        <v>1413</v>
      </c>
      <c r="C1663" s="1100">
        <v>0.99000094110699699</v>
      </c>
      <c r="D1663" s="1100">
        <v>0.96925950497525948</v>
      </c>
      <c r="E1663" s="1100">
        <v>1.00981542615704</v>
      </c>
      <c r="F1663" s="1100">
        <v>0.991774800647238</v>
      </c>
      <c r="G1663" s="1100">
        <v>1.0157485379798485</v>
      </c>
      <c r="H1663" s="1100">
        <v>0.97330002052633879</v>
      </c>
      <c r="I1663" s="1100">
        <v>0.97962951660728836</v>
      </c>
      <c r="K1663">
        <v>1.3081638722311097</v>
      </c>
      <c r="L1663">
        <v>0</v>
      </c>
      <c r="M1663">
        <v>5.8624016244966518E-4</v>
      </c>
      <c r="N1663">
        <v>5.5524457343388428E-2</v>
      </c>
      <c r="O1663">
        <v>7.9413413956477778E-3</v>
      </c>
      <c r="P1663">
        <v>1.624699419686693E-2</v>
      </c>
      <c r="Q1663">
        <v>4.6433087723145674E-4</v>
      </c>
      <c r="R1663">
        <v>5.8446281369671927E-4</v>
      </c>
      <c r="S1663">
        <v>6.0141514759621317E-2</v>
      </c>
      <c r="T1663">
        <v>1.0235989439610524</v>
      </c>
      <c r="U1663">
        <v>0</v>
      </c>
      <c r="V1663">
        <v>9.8742533276654706E-2</v>
      </c>
      <c r="W1663">
        <v>3.626443976322518E-2</v>
      </c>
      <c r="X1663">
        <v>7.6503788954062858E-3</v>
      </c>
      <c r="Y1663">
        <v>1.5907151107677155E-3</v>
      </c>
    </row>
    <row r="1664" spans="1:25" x14ac:dyDescent="0.25">
      <c r="A1664" s="1096"/>
      <c r="B1664" s="1455">
        <v>1414</v>
      </c>
      <c r="C1664" s="1100">
        <v>0.98826700659283584</v>
      </c>
      <c r="D1664" s="1100">
        <v>0.99360881565055192</v>
      </c>
      <c r="E1664" s="1100">
        <v>0.99761187944922747</v>
      </c>
      <c r="F1664" s="1100">
        <v>1.0177485598655633</v>
      </c>
      <c r="G1664" s="1100">
        <v>0.97291315754788366</v>
      </c>
      <c r="H1664" s="1100">
        <v>1.0234398997644858</v>
      </c>
      <c r="I1664" s="1100">
        <v>0.98494101833546321</v>
      </c>
      <c r="K1664">
        <v>1.3377633256636103</v>
      </c>
      <c r="L1664">
        <v>0</v>
      </c>
      <c r="M1664">
        <v>6.2710799316721645E-4</v>
      </c>
      <c r="N1664">
        <v>5.7254274386182073E-2</v>
      </c>
      <c r="O1664">
        <v>7.8736723903563323E-3</v>
      </c>
      <c r="P1664">
        <v>1.6458006703949399E-2</v>
      </c>
      <c r="Q1664">
        <v>4.5477289679705203E-4</v>
      </c>
      <c r="R1664">
        <v>6.2529988748769884E-4</v>
      </c>
      <c r="S1664">
        <v>6.1287354366750896E-2</v>
      </c>
      <c r="T1664">
        <v>1.0507744647816391</v>
      </c>
      <c r="U1664">
        <v>0</v>
      </c>
      <c r="V1664">
        <v>9.6700494663872941E-2</v>
      </c>
      <c r="W1664">
        <v>3.7665640026199994E-2</v>
      </c>
      <c r="X1664">
        <v>7.5945933898536487E-3</v>
      </c>
      <c r="Y1664">
        <v>1.7018601636890043E-3</v>
      </c>
    </row>
    <row r="1665" spans="1:25" x14ac:dyDescent="0.25">
      <c r="A1665" s="1096"/>
      <c r="B1665" s="1455">
        <v>1415</v>
      </c>
      <c r="C1665" s="1100">
        <v>1.0109754354326204</v>
      </c>
      <c r="D1665" s="1100">
        <v>1.0134877852472592</v>
      </c>
      <c r="E1665" s="1100">
        <v>0.9740842199742038</v>
      </c>
      <c r="F1665" s="1100">
        <v>0.95953408112506611</v>
      </c>
      <c r="G1665" s="1100">
        <v>1.0030822823302399</v>
      </c>
      <c r="H1665" s="1100">
        <v>0.99715020628047624</v>
      </c>
      <c r="I1665" s="1100">
        <v>1.0111060312872477</v>
      </c>
      <c r="K1665">
        <v>1.2691652345007689</v>
      </c>
      <c r="L1665">
        <v>0</v>
      </c>
      <c r="M1665">
        <v>6.2212991946879539E-4</v>
      </c>
      <c r="N1665">
        <v>5.289454078337856E-2</v>
      </c>
      <c r="O1665">
        <v>7.630398898205876E-3</v>
      </c>
      <c r="P1665">
        <v>1.5368090800483172E-2</v>
      </c>
      <c r="Q1665">
        <v>4.3034087174127452E-4</v>
      </c>
      <c r="R1665">
        <v>6.2028887481252448E-4</v>
      </c>
      <c r="S1665">
        <v>6.0033045018339407E-2</v>
      </c>
      <c r="T1665">
        <v>0.99135243667098394</v>
      </c>
      <c r="U1665">
        <v>0</v>
      </c>
      <c r="V1665">
        <v>9.7570678138164099E-2</v>
      </c>
      <c r="W1665">
        <v>3.5293091987901079E-2</v>
      </c>
      <c r="X1665">
        <v>6.9062305371610077E-3</v>
      </c>
      <c r="Y1665">
        <v>1.6882218390670643E-3</v>
      </c>
    </row>
    <row r="1666" spans="1:25" x14ac:dyDescent="0.25">
      <c r="A1666" s="1096"/>
      <c r="B1666" s="1455">
        <v>1416</v>
      </c>
      <c r="C1666" s="1100">
        <v>1.0249760183241996</v>
      </c>
      <c r="D1666" s="1100">
        <v>0.97507110334059754</v>
      </c>
      <c r="E1666" s="1100">
        <v>1.0042084725774756</v>
      </c>
      <c r="F1666" s="1100">
        <v>1.0103569475835723</v>
      </c>
      <c r="G1666" s="1100">
        <v>0.99385490907406404</v>
      </c>
      <c r="H1666" s="1100">
        <v>0.99971662239986292</v>
      </c>
      <c r="I1666" s="1100">
        <v>0.97686733381247026</v>
      </c>
      <c r="K1666">
        <v>1.3224335913330414</v>
      </c>
      <c r="L1666">
        <v>0</v>
      </c>
      <c r="M1666">
        <v>5.8701029102873194E-4</v>
      </c>
      <c r="N1666">
        <v>5.4668390170704136E-2</v>
      </c>
      <c r="O1666">
        <v>7.6506829689311313E-3</v>
      </c>
      <c r="P1666">
        <v>1.6395674143142015E-2</v>
      </c>
      <c r="Q1666">
        <v>4.4483166372312282E-4</v>
      </c>
      <c r="R1666">
        <v>5.8527763393822964E-4</v>
      </c>
      <c r="S1666">
        <v>5.8510577440652599E-2</v>
      </c>
      <c r="T1666">
        <v>1.0429447938193279</v>
      </c>
      <c r="U1666">
        <v>0</v>
      </c>
      <c r="V1666">
        <v>9.6822771433063101E-2</v>
      </c>
      <c r="W1666">
        <v>3.5823847227046929E-2</v>
      </c>
      <c r="X1666">
        <v>7.580822340679921E-3</v>
      </c>
      <c r="Y1666">
        <v>1.592932782859686E-3</v>
      </c>
    </row>
    <row r="1667" spans="1:25" x14ac:dyDescent="0.25">
      <c r="A1667" s="1096"/>
      <c r="B1667" s="1455">
        <v>1417</v>
      </c>
      <c r="C1667" s="1100">
        <v>0.97252850481096342</v>
      </c>
      <c r="D1667" s="1100">
        <v>0.98737007734969628</v>
      </c>
      <c r="E1667" s="1100">
        <v>0.99266122895846853</v>
      </c>
      <c r="F1667" s="1100">
        <v>0.97613334995345236</v>
      </c>
      <c r="G1667" s="1100">
        <v>1.0372928641691701</v>
      </c>
      <c r="H1667" s="1100">
        <v>0.9892605255153416</v>
      </c>
      <c r="I1667" s="1100">
        <v>0.97637153814981126</v>
      </c>
      <c r="K1667">
        <v>1.2955737098815643</v>
      </c>
      <c r="L1667">
        <v>0</v>
      </c>
      <c r="M1667">
        <v>6.2389755465670576E-4</v>
      </c>
      <c r="N1667">
        <v>5.6109631402560686E-2</v>
      </c>
      <c r="O1667">
        <v>8.0200215149242235E-3</v>
      </c>
      <c r="P1667">
        <v>1.5858507123590496E-2</v>
      </c>
      <c r="Q1667">
        <v>4.6092022060509514E-4</v>
      </c>
      <c r="R1667">
        <v>6.2203655444719092E-4</v>
      </c>
      <c r="S1667">
        <v>6.0887759205013915E-2</v>
      </c>
      <c r="T1667">
        <v>1.0079533832920911</v>
      </c>
      <c r="U1667">
        <v>0</v>
      </c>
      <c r="V1667">
        <v>0.10021511566095063</v>
      </c>
      <c r="W1667">
        <v>3.7021809157966296E-2</v>
      </c>
      <c r="X1667">
        <v>7.3554448571623299E-3</v>
      </c>
      <c r="Y1667">
        <v>1.6929784469101898E-3</v>
      </c>
    </row>
    <row r="1668" spans="1:25" x14ac:dyDescent="0.25">
      <c r="A1668" s="1096"/>
      <c r="B1668" s="1455">
        <v>1418</v>
      </c>
      <c r="C1668" s="1100">
        <v>0.98845100251970075</v>
      </c>
      <c r="D1668" s="1100">
        <v>0.96256598748323785</v>
      </c>
      <c r="E1668" s="1100">
        <v>1.0040074631523854</v>
      </c>
      <c r="F1668" s="1100">
        <v>1.0016475955955739</v>
      </c>
      <c r="G1668" s="1100">
        <v>0.97637166200474346</v>
      </c>
      <c r="H1668" s="1100">
        <v>1.0322510169600789</v>
      </c>
      <c r="I1668" s="1100">
        <v>1.013710573722937</v>
      </c>
      <c r="K1668">
        <v>1.3268120606008407</v>
      </c>
      <c r="L1668">
        <v>0</v>
      </c>
      <c r="M1668">
        <v>6.3202780596019839E-4</v>
      </c>
      <c r="N1668">
        <v>5.8830645236426268E-2</v>
      </c>
      <c r="O1668">
        <v>7.9744054190421815E-3</v>
      </c>
      <c r="P1668">
        <v>1.6352043705377364E-2</v>
      </c>
      <c r="Q1668">
        <v>4.6356031425956858E-4</v>
      </c>
      <c r="R1668">
        <v>6.3022107001756145E-4</v>
      </c>
      <c r="S1668">
        <v>6.4433479933644899E-2</v>
      </c>
      <c r="T1668">
        <v>1.033960500464933</v>
      </c>
      <c r="U1668">
        <v>0</v>
      </c>
      <c r="V1668">
        <v>9.687025630694697E-2</v>
      </c>
      <c r="W1668">
        <v>3.8555937468367933E-2</v>
      </c>
      <c r="X1668">
        <v>7.6577844875161984E-3</v>
      </c>
      <c r="Y1668">
        <v>1.7152540002679047E-3</v>
      </c>
    </row>
    <row r="1669" spans="1:25" x14ac:dyDescent="0.25">
      <c r="A1669" s="1096"/>
      <c r="B1669" s="1455">
        <v>1419</v>
      </c>
      <c r="C1669" s="1100">
        <v>0.95582274445852911</v>
      </c>
      <c r="D1669" s="1100">
        <v>1.0315987626164003</v>
      </c>
      <c r="E1669" s="1100">
        <v>0.98989567613433216</v>
      </c>
      <c r="F1669" s="1100">
        <v>0.97292344163913214</v>
      </c>
      <c r="G1669" s="1100">
        <v>1.0182694041598013</v>
      </c>
      <c r="H1669" s="1100">
        <v>1.0184817740728878</v>
      </c>
      <c r="I1669" s="1100">
        <v>1.0012934908350395</v>
      </c>
      <c r="K1669">
        <v>1.2964615305852221</v>
      </c>
      <c r="L1669">
        <v>0</v>
      </c>
      <c r="M1669">
        <v>6.4588691744952968E-4</v>
      </c>
      <c r="N1669">
        <v>5.7608543765196814E-2</v>
      </c>
      <c r="O1669">
        <v>8.0177078898281285E-3</v>
      </c>
      <c r="P1669">
        <v>1.5803606784956362E-2</v>
      </c>
      <c r="Q1669">
        <v>4.5950191272284242E-4</v>
      </c>
      <c r="R1669">
        <v>6.4401560182108012E-4</v>
      </c>
      <c r="S1669">
        <v>6.297645432724415E-2</v>
      </c>
      <c r="T1669">
        <v>1.0047196264893303</v>
      </c>
      <c r="U1669">
        <v>0</v>
      </c>
      <c r="V1669">
        <v>9.9737057861746803E-2</v>
      </c>
      <c r="W1669">
        <v>3.807377182089438E-2</v>
      </c>
      <c r="X1669">
        <v>7.3143328804597327E-3</v>
      </c>
      <c r="Y1669">
        <v>1.7527981684708968E-3</v>
      </c>
    </row>
    <row r="1670" spans="1:25" x14ac:dyDescent="0.25">
      <c r="A1670" s="1096"/>
      <c r="B1670" s="1455">
        <v>1420</v>
      </c>
      <c r="C1670" s="1100">
        <v>1.0103020635881919</v>
      </c>
      <c r="D1670" s="1100">
        <v>0.99016503216444429</v>
      </c>
      <c r="E1670" s="1100">
        <v>1.0145720474141722</v>
      </c>
      <c r="F1670" s="1100">
        <v>1.0112886986658247</v>
      </c>
      <c r="G1670" s="1100">
        <v>1.0085582227001268</v>
      </c>
      <c r="H1670" s="1100">
        <v>0.98669534375104195</v>
      </c>
      <c r="I1670" s="1100">
        <v>0.95685781448656237</v>
      </c>
      <c r="K1670">
        <v>1.323505884569133</v>
      </c>
      <c r="L1670">
        <v>0</v>
      </c>
      <c r="M1670">
        <v>5.7173684486003782E-4</v>
      </c>
      <c r="N1670">
        <v>5.4936176450180625E-2</v>
      </c>
      <c r="O1670">
        <v>7.7167895430415353E-3</v>
      </c>
      <c r="P1670">
        <v>1.6528963020494218E-2</v>
      </c>
      <c r="Q1670">
        <v>4.5334923251373583E-4</v>
      </c>
      <c r="R1670">
        <v>5.7002699916105734E-4</v>
      </c>
      <c r="S1670">
        <v>5.7298452640505607E-2</v>
      </c>
      <c r="T1670">
        <v>1.0435975704190639</v>
      </c>
      <c r="U1670">
        <v>0</v>
      </c>
      <c r="V1670">
        <v>9.7896893533567009E-2</v>
      </c>
      <c r="W1670">
        <v>3.5779893505773437E-2</v>
      </c>
      <c r="X1670">
        <v>7.7480804873245124E-3</v>
      </c>
      <c r="Y1670">
        <v>1.551425582366626E-3</v>
      </c>
    </row>
    <row r="1671" spans="1:25" x14ac:dyDescent="0.25">
      <c r="A1671" s="1096"/>
      <c r="B1671" s="1455">
        <v>1421</v>
      </c>
      <c r="C1671" s="1100">
        <v>0.96270848173063706</v>
      </c>
      <c r="D1671" s="1100">
        <v>0.98711294376102254</v>
      </c>
      <c r="E1671" s="1100">
        <v>0.99100398891164043</v>
      </c>
      <c r="F1671" s="1100">
        <v>0.97828941532094504</v>
      </c>
      <c r="G1671" s="1100">
        <v>1.010922980615738</v>
      </c>
      <c r="H1671" s="1100">
        <v>0.97843068167600389</v>
      </c>
      <c r="I1671" s="1100">
        <v>1.0068734709520151</v>
      </c>
      <c r="K1671">
        <v>1.298974768082509</v>
      </c>
      <c r="L1671">
        <v>0</v>
      </c>
      <c r="M1671">
        <v>6.2557083408094742E-4</v>
      </c>
      <c r="N1671">
        <v>5.5977110627832394E-2</v>
      </c>
      <c r="O1671">
        <v>8.1022489336003561E-3</v>
      </c>
      <c r="P1671">
        <v>1.5885646613382411E-2</v>
      </c>
      <c r="Q1671">
        <v>4.6486737816155767E-4</v>
      </c>
      <c r="R1671">
        <v>6.2368418882470555E-4</v>
      </c>
      <c r="S1671">
        <v>6.3089956789804849E-2</v>
      </c>
      <c r="T1671">
        <v>1.0102283841651201</v>
      </c>
      <c r="U1671">
        <v>0</v>
      </c>
      <c r="V1671">
        <v>9.9197516143482142E-2</v>
      </c>
      <c r="W1671">
        <v>3.6971003391138541E-2</v>
      </c>
      <c r="X1671">
        <v>7.3624579206975028E-3</v>
      </c>
      <c r="Y1671">
        <v>1.6974627645432582E-3</v>
      </c>
    </row>
    <row r="1672" spans="1:25" x14ac:dyDescent="0.25">
      <c r="A1672" s="1096"/>
      <c r="B1672" s="1455">
        <v>1422</v>
      </c>
      <c r="C1672" s="1100">
        <v>0.95922538948927472</v>
      </c>
      <c r="D1672" s="1100">
        <v>1.0032804198766412</v>
      </c>
      <c r="E1672" s="1100">
        <v>0.98224537415660607</v>
      </c>
      <c r="F1672" s="1100">
        <v>1.0029412337353081</v>
      </c>
      <c r="G1672" s="1100">
        <v>1.014032557903956</v>
      </c>
      <c r="H1672" s="1100">
        <v>0.99169561064491274</v>
      </c>
      <c r="I1672" s="1100">
        <v>0.98743948303463036</v>
      </c>
      <c r="K1672">
        <v>1.324441998496916</v>
      </c>
      <c r="L1672">
        <v>0</v>
      </c>
      <c r="M1672">
        <v>6.437993257684887E-4</v>
      </c>
      <c r="N1672">
        <v>5.6104619300734411E-2</v>
      </c>
      <c r="O1672">
        <v>8.0767646352833851E-3</v>
      </c>
      <c r="P1672">
        <v>1.6115080766559087E-2</v>
      </c>
      <c r="Q1672">
        <v>4.5931320393151868E-4</v>
      </c>
      <c r="R1672">
        <v>6.4188367673481857E-4</v>
      </c>
      <c r="S1672">
        <v>6.1964163057004543E-2</v>
      </c>
      <c r="T1672">
        <v>1.0359500053377924</v>
      </c>
      <c r="U1672">
        <v>0</v>
      </c>
      <c r="V1672">
        <v>9.9431494019424402E-2</v>
      </c>
      <c r="W1672">
        <v>3.725067941886135E-2</v>
      </c>
      <c r="X1672">
        <v>7.3447986351827732E-3</v>
      </c>
      <c r="Y1672">
        <v>1.7469957711750089E-3</v>
      </c>
    </row>
    <row r="1673" spans="1:25" x14ac:dyDescent="0.25">
      <c r="A1673" s="1096"/>
      <c r="B1673" s="1455">
        <v>1423</v>
      </c>
      <c r="C1673" s="1100">
        <v>0.99472440118097527</v>
      </c>
      <c r="D1673" s="1100">
        <v>0.99630726835657057</v>
      </c>
      <c r="E1673" s="1100">
        <v>1.0116378346618891</v>
      </c>
      <c r="F1673" s="1100">
        <v>1.0169335777584689</v>
      </c>
      <c r="G1673" s="1100">
        <v>1.0268608822518608</v>
      </c>
      <c r="H1673" s="1100">
        <v>1.0219533877853848</v>
      </c>
      <c r="I1673" s="1100">
        <v>1.0072385909625778</v>
      </c>
      <c r="K1673">
        <v>1.3402010545838188</v>
      </c>
      <c r="L1673">
        <v>0</v>
      </c>
      <c r="M1673">
        <v>6.0362472153709481E-4</v>
      </c>
      <c r="N1673">
        <v>5.7494716709729748E-2</v>
      </c>
      <c r="O1673">
        <v>7.8175465109673239E-3</v>
      </c>
      <c r="P1673">
        <v>1.6658738206040444E-2</v>
      </c>
      <c r="Q1673">
        <v>4.5792571328658586E-4</v>
      </c>
      <c r="R1673">
        <v>6.0188179232565264E-4</v>
      </c>
      <c r="S1673">
        <v>6.2145713150428848E-2</v>
      </c>
      <c r="T1673">
        <v>1.0495104464800409</v>
      </c>
      <c r="U1673">
        <v>0</v>
      </c>
      <c r="V1673">
        <v>9.9163321648834318E-2</v>
      </c>
      <c r="W1673">
        <v>3.7510957419360884E-2</v>
      </c>
      <c r="X1673">
        <v>7.8053078459093816E-3</v>
      </c>
      <c r="Y1673">
        <v>1.63812382843091E-3</v>
      </c>
    </row>
    <row r="1674" spans="1:25" x14ac:dyDescent="0.25">
      <c r="A1674" s="1096"/>
      <c r="B1674" s="1455">
        <v>1424</v>
      </c>
      <c r="C1674" s="1100">
        <v>0.97782702422506607</v>
      </c>
      <c r="D1674" s="1100">
        <v>0.98196818323108259</v>
      </c>
      <c r="E1674" s="1100">
        <v>1.0039498549909742</v>
      </c>
      <c r="F1674" s="1100">
        <v>1.023517180697441</v>
      </c>
      <c r="G1674" s="1100">
        <v>1.0046207321966882</v>
      </c>
      <c r="H1674" s="1100">
        <v>1.001546674931999</v>
      </c>
      <c r="I1674" s="1100">
        <v>1.0145540937765596</v>
      </c>
      <c r="K1674">
        <v>1.3478656274125882</v>
      </c>
      <c r="L1674">
        <v>0</v>
      </c>
      <c r="M1674">
        <v>6.1503571648155789E-4</v>
      </c>
      <c r="N1674">
        <v>5.7233990450395948E-2</v>
      </c>
      <c r="O1674">
        <v>7.9969405683481092E-3</v>
      </c>
      <c r="P1674">
        <v>1.6670040663532712E-2</v>
      </c>
      <c r="Q1674">
        <v>4.6484344638729133E-4</v>
      </c>
      <c r="R1674">
        <v>6.1322365486214875E-4</v>
      </c>
      <c r="S1674">
        <v>6.351548263096847E-2</v>
      </c>
      <c r="T1674">
        <v>1.0565373410498138</v>
      </c>
      <c r="U1674">
        <v>0</v>
      </c>
      <c r="V1674">
        <v>9.8509256280878546E-2</v>
      </c>
      <c r="W1674">
        <v>3.7510815464872158E-2</v>
      </c>
      <c r="X1674">
        <v>7.759736279598561E-3</v>
      </c>
      <c r="Y1674">
        <v>1.6689926394112728E-3</v>
      </c>
    </row>
    <row r="1675" spans="1:25" x14ac:dyDescent="0.25">
      <c r="A1675" s="1096"/>
      <c r="B1675" s="1455">
        <v>1425</v>
      </c>
      <c r="C1675" s="1100">
        <v>0.95708199910829628</v>
      </c>
      <c r="D1675" s="1100">
        <v>1.0311885694441023</v>
      </c>
      <c r="E1675" s="1100">
        <v>1.0209936327607412</v>
      </c>
      <c r="F1675" s="1100">
        <v>0.98855016459201772</v>
      </c>
      <c r="G1675" s="1100">
        <v>1.0378281535014429</v>
      </c>
      <c r="H1675" s="1100">
        <v>0.99340147883306285</v>
      </c>
      <c r="I1675" s="1100">
        <v>0.96831701986627816</v>
      </c>
      <c r="K1675">
        <v>1.3103122008381911</v>
      </c>
      <c r="L1675">
        <v>0</v>
      </c>
      <c r="M1675">
        <v>5.8991177226059058E-4</v>
      </c>
      <c r="N1675">
        <v>5.7792683286792448E-2</v>
      </c>
      <c r="O1675">
        <v>8.016317970523542E-3</v>
      </c>
      <c r="P1675">
        <v>1.6356947113498107E-2</v>
      </c>
      <c r="Q1675">
        <v>4.7396588188926812E-4</v>
      </c>
      <c r="R1675">
        <v>5.8815948187053272E-4</v>
      </c>
      <c r="S1675">
        <v>6.010010550696207E-2</v>
      </c>
      <c r="T1675">
        <v>1.0199469847257037</v>
      </c>
      <c r="U1675">
        <v>0</v>
      </c>
      <c r="V1675">
        <v>0.10068479057925989</v>
      </c>
      <c r="W1675">
        <v>3.7498940130962576E-2</v>
      </c>
      <c r="X1675">
        <v>7.8424417100577543E-3</v>
      </c>
      <c r="Y1675">
        <v>1.6007762229304993E-3</v>
      </c>
    </row>
    <row r="1676" spans="1:25" x14ac:dyDescent="0.25">
      <c r="A1676" s="1096"/>
      <c r="B1676" s="1455">
        <v>1426</v>
      </c>
      <c r="C1676" s="1100">
        <v>1.0454200569326257</v>
      </c>
      <c r="D1676" s="1100">
        <v>1.0089124378468874</v>
      </c>
      <c r="E1676" s="1100">
        <v>1.0189249927442827</v>
      </c>
      <c r="F1676" s="1100">
        <v>1.0034763695133548</v>
      </c>
      <c r="G1676" s="1100">
        <v>0.99352029326307367</v>
      </c>
      <c r="H1676" s="1100">
        <v>1.0312959412372054</v>
      </c>
      <c r="I1676" s="1100">
        <v>0.99143495937981851</v>
      </c>
      <c r="K1676">
        <v>1.314635275119906</v>
      </c>
      <c r="L1676">
        <v>0</v>
      </c>
      <c r="M1676">
        <v>5.6802439654628917E-4</v>
      </c>
      <c r="N1676">
        <v>5.5308265894024121E-2</v>
      </c>
      <c r="O1676">
        <v>7.4028443850948566E-3</v>
      </c>
      <c r="P1676">
        <v>1.6458213442321325E-2</v>
      </c>
      <c r="Q1676">
        <v>4.3679494865435663E-4</v>
      </c>
      <c r="R1676">
        <v>5.6639911913733724E-4</v>
      </c>
      <c r="S1676">
        <v>5.8090745639346381E-2</v>
      </c>
      <c r="T1676">
        <v>1.0354078094454162</v>
      </c>
      <c r="U1676">
        <v>0</v>
      </c>
      <c r="V1676">
        <v>9.6349922400632573E-2</v>
      </c>
      <c r="W1676">
        <v>3.5930379474741633E-2</v>
      </c>
      <c r="X1676">
        <v>7.7103730782104021E-3</v>
      </c>
      <c r="Y1676">
        <v>1.5415516888723881E-3</v>
      </c>
    </row>
    <row r="1677" spans="1:25" x14ac:dyDescent="0.25">
      <c r="A1677" s="1096"/>
      <c r="B1677" s="1455">
        <v>1427</v>
      </c>
      <c r="C1677" s="1100">
        <v>0.99219222582313504</v>
      </c>
      <c r="D1677" s="1100">
        <v>1.0085680016327248</v>
      </c>
      <c r="E1677" s="1100">
        <v>0.95399906887213382</v>
      </c>
      <c r="F1677" s="1100">
        <v>1.0019303650389828</v>
      </c>
      <c r="G1677" s="1100">
        <v>1.0373824352193208</v>
      </c>
      <c r="H1677" s="1100">
        <v>1.0259544812318739</v>
      </c>
      <c r="I1677" s="1100">
        <v>1.004718299839791</v>
      </c>
      <c r="K1677">
        <v>1.321262811116503</v>
      </c>
      <c r="L1677">
        <v>0</v>
      </c>
      <c r="M1677">
        <v>6.8112880675199185E-4</v>
      </c>
      <c r="N1677">
        <v>5.4496892139263758E-2</v>
      </c>
      <c r="O1677">
        <v>7.7850751921605989E-3</v>
      </c>
      <c r="P1677">
        <v>1.5768067664614437E-2</v>
      </c>
      <c r="Q1677">
        <v>4.3011337282039102E-4</v>
      </c>
      <c r="R1677">
        <v>6.7916975921813799E-4</v>
      </c>
      <c r="S1677">
        <v>6.1809225289913408E-2</v>
      </c>
      <c r="T1677">
        <v>1.0357752542234857</v>
      </c>
      <c r="U1677">
        <v>0</v>
      </c>
      <c r="V1677">
        <v>9.9671236105283681E-2</v>
      </c>
      <c r="W1677">
        <v>3.6811616512639297E-2</v>
      </c>
      <c r="X1677">
        <v>6.8688134675137652E-3</v>
      </c>
      <c r="Y1677">
        <v>1.8484761963408164E-3</v>
      </c>
    </row>
    <row r="1678" spans="1:25" x14ac:dyDescent="0.25">
      <c r="A1678" s="1096"/>
      <c r="B1678" s="1455">
        <v>1428</v>
      </c>
      <c r="C1678" s="1100">
        <v>1.0160228423086601</v>
      </c>
      <c r="D1678" s="1100">
        <v>1.0340755034331233</v>
      </c>
      <c r="E1678" s="1100">
        <v>1.0164168858791109</v>
      </c>
      <c r="F1678" s="1100">
        <v>1.0057477406977491</v>
      </c>
      <c r="G1678" s="1100">
        <v>1.0201941951337063</v>
      </c>
      <c r="H1678" s="1100">
        <v>1.0170379804670953</v>
      </c>
      <c r="I1678" s="1100">
        <v>1.0248605506195183</v>
      </c>
      <c r="K1678">
        <v>1.3219984167917405</v>
      </c>
      <c r="L1678">
        <v>0</v>
      </c>
      <c r="M1678">
        <v>5.7371245443162133E-4</v>
      </c>
      <c r="N1678">
        <v>5.5438726540447771E-2</v>
      </c>
      <c r="O1678">
        <v>7.5417467444617026E-3</v>
      </c>
      <c r="P1678">
        <v>1.6522451363930758E-2</v>
      </c>
      <c r="Q1678">
        <v>4.4388111025550414E-4</v>
      </c>
      <c r="R1678">
        <v>5.7204788879569384E-4</v>
      </c>
      <c r="S1678">
        <v>6.0543887001475276E-2</v>
      </c>
      <c r="T1678">
        <v>1.0378252159642023</v>
      </c>
      <c r="U1678">
        <v>0</v>
      </c>
      <c r="V1678">
        <v>9.8323780872112673E-2</v>
      </c>
      <c r="W1678">
        <v>3.6068115298335722E-2</v>
      </c>
      <c r="X1678">
        <v>7.7353506843872086E-3</v>
      </c>
      <c r="Y1678">
        <v>1.5569257777660185E-3</v>
      </c>
    </row>
    <row r="1679" spans="1:25" x14ac:dyDescent="0.25">
      <c r="A1679" s="1096"/>
      <c r="B1679" s="1455">
        <v>1429</v>
      </c>
      <c r="C1679" s="1100">
        <v>1.0096813716380812</v>
      </c>
      <c r="D1679" s="1100">
        <v>1.0202172073369959</v>
      </c>
      <c r="E1679" s="1100">
        <v>1.0307902357364145</v>
      </c>
      <c r="F1679" s="1100">
        <v>0.99215274109777751</v>
      </c>
      <c r="G1679" s="1100">
        <v>1.0186838045982149</v>
      </c>
      <c r="H1679" s="1100">
        <v>1.0077804165627577</v>
      </c>
      <c r="I1679" s="1100">
        <v>0.97534410072004063</v>
      </c>
      <c r="K1679">
        <v>1.3065703521726517</v>
      </c>
      <c r="L1679">
        <v>0</v>
      </c>
      <c r="M1679">
        <v>5.5820139813145698E-4</v>
      </c>
      <c r="N1679">
        <v>5.6328070319770135E-2</v>
      </c>
      <c r="O1679">
        <v>7.6336613436838834E-3</v>
      </c>
      <c r="P1679">
        <v>1.6463186563491407E-2</v>
      </c>
      <c r="Q1679">
        <v>4.5574409842710724E-4</v>
      </c>
      <c r="R1679">
        <v>5.5656695872921601E-4</v>
      </c>
      <c r="S1679">
        <v>5.8142698266753425E-2</v>
      </c>
      <c r="T1679">
        <v>1.0233821409751773</v>
      </c>
      <c r="U1679">
        <v>0</v>
      </c>
      <c r="V1679">
        <v>9.8420166208194826E-2</v>
      </c>
      <c r="W1679">
        <v>3.6340703034528216E-2</v>
      </c>
      <c r="X1679">
        <v>7.8908240126153665E-3</v>
      </c>
      <c r="Y1679">
        <v>1.5147917894122898E-3</v>
      </c>
    </row>
    <row r="1680" spans="1:25" x14ac:dyDescent="0.25">
      <c r="A1680" s="1096"/>
      <c r="B1680" s="1455">
        <v>1430</v>
      </c>
      <c r="C1680" s="1100">
        <v>0.99341404579282733</v>
      </c>
      <c r="D1680" s="1100">
        <v>1.0031086184758284</v>
      </c>
      <c r="E1680" s="1100">
        <v>0.99469572866607248</v>
      </c>
      <c r="F1680" s="1100">
        <v>1.0175849540006781</v>
      </c>
      <c r="G1680" s="1100">
        <v>0.957074015995653</v>
      </c>
      <c r="H1680" s="1100">
        <v>0.97961101514905879</v>
      </c>
      <c r="I1680" s="1100">
        <v>1.0214730106834466</v>
      </c>
      <c r="K1680">
        <v>1.3316720376727751</v>
      </c>
      <c r="L1680">
        <v>0</v>
      </c>
      <c r="M1680">
        <v>5.9848064948411718E-4</v>
      </c>
      <c r="N1680">
        <v>5.4154200405421994E-2</v>
      </c>
      <c r="O1680">
        <v>7.8024015509551578E-3</v>
      </c>
      <c r="P1680">
        <v>1.6412140032221922E-2</v>
      </c>
      <c r="Q1680">
        <v>4.4933452477144593E-4</v>
      </c>
      <c r="R1680">
        <v>5.9667787969503664E-4</v>
      </c>
      <c r="S1680">
        <v>6.1533005037069773E-2</v>
      </c>
      <c r="T1680">
        <v>1.0506942160608235</v>
      </c>
      <c r="U1680">
        <v>0</v>
      </c>
      <c r="V1680">
        <v>9.5801118175077818E-2</v>
      </c>
      <c r="W1680">
        <v>3.5688195873140573E-2</v>
      </c>
      <c r="X1680">
        <v>7.5152682893620841E-3</v>
      </c>
      <c r="Y1680">
        <v>1.6239604937197114E-3</v>
      </c>
    </row>
    <row r="1681" spans="1:25" x14ac:dyDescent="0.25">
      <c r="A1681" s="1096"/>
      <c r="B1681" s="1455">
        <v>1431</v>
      </c>
      <c r="C1681" s="1100">
        <v>1.0022673644338183</v>
      </c>
      <c r="D1681" s="1100">
        <v>1.0007447535841445</v>
      </c>
      <c r="E1681" s="1100">
        <v>0.96112335664835169</v>
      </c>
      <c r="F1681" s="1100">
        <v>1.001295916914509</v>
      </c>
      <c r="G1681" s="1100">
        <v>0.99389693509669186</v>
      </c>
      <c r="H1681" s="1100">
        <v>1.0228320266122117</v>
      </c>
      <c r="I1681" s="1100">
        <v>0.97685465402646787</v>
      </c>
      <c r="K1681">
        <v>1.3154261687036108</v>
      </c>
      <c r="L1681">
        <v>0</v>
      </c>
      <c r="M1681">
        <v>6.6450139005027936E-4</v>
      </c>
      <c r="N1681">
        <v>5.4326477302188564E-2</v>
      </c>
      <c r="O1681">
        <v>7.7325917466777149E-3</v>
      </c>
      <c r="P1681">
        <v>1.578415307775604E-2</v>
      </c>
      <c r="Q1681">
        <v>4.3035774216408315E-4</v>
      </c>
      <c r="R1681">
        <v>6.625843314255383E-4</v>
      </c>
      <c r="S1681">
        <v>5.9653066776852386E-2</v>
      </c>
      <c r="T1681">
        <v>1.0348979707291546</v>
      </c>
      <c r="U1681">
        <v>0</v>
      </c>
      <c r="V1681">
        <v>9.7325058023791156E-2</v>
      </c>
      <c r="W1681">
        <v>3.6536155092828121E-2</v>
      </c>
      <c r="X1681">
        <v>6.9389191415473572E-3</v>
      </c>
      <c r="Y1681">
        <v>1.8033361292741628E-3</v>
      </c>
    </row>
    <row r="1682" spans="1:25" x14ac:dyDescent="0.25">
      <c r="A1682" s="1096"/>
      <c r="B1682" s="1455">
        <v>1432</v>
      </c>
      <c r="C1682" s="1100">
        <v>0.99500201215348671</v>
      </c>
      <c r="D1682" s="1100">
        <v>1.01325278917845</v>
      </c>
      <c r="E1682" s="1100">
        <v>1.0366295231398293</v>
      </c>
      <c r="F1682" s="1100">
        <v>0.96580640715948307</v>
      </c>
      <c r="G1682" s="1100">
        <v>0.98328882892112424</v>
      </c>
      <c r="H1682" s="1100">
        <v>0.96686328422061207</v>
      </c>
      <c r="I1682" s="1100">
        <v>1.0064097857885823</v>
      </c>
      <c r="K1682">
        <v>1.2775047557604979</v>
      </c>
      <c r="L1682">
        <v>0</v>
      </c>
      <c r="M1682">
        <v>5.3833557910986849E-4</v>
      </c>
      <c r="N1682">
        <v>5.5280994889157394E-2</v>
      </c>
      <c r="O1682">
        <v>7.7689750940505339E-3</v>
      </c>
      <c r="P1682">
        <v>1.6155039067282911E-2</v>
      </c>
      <c r="Q1682">
        <v>4.6650263084716941E-4</v>
      </c>
      <c r="R1682">
        <v>5.366926007870801E-4</v>
      </c>
      <c r="S1682">
        <v>5.9851292180939271E-2</v>
      </c>
      <c r="T1682">
        <v>0.99604429047964216</v>
      </c>
      <c r="U1682">
        <v>0</v>
      </c>
      <c r="V1682">
        <v>9.7076394624117962E-2</v>
      </c>
      <c r="W1682">
        <v>3.5544835473200365E-2</v>
      </c>
      <c r="X1682">
        <v>7.8573739609066537E-3</v>
      </c>
      <c r="Y1682">
        <v>1.4607003386741309E-3</v>
      </c>
    </row>
    <row r="1683" spans="1:25" x14ac:dyDescent="0.25">
      <c r="A1683" s="1096"/>
      <c r="B1683" s="1455">
        <v>1433</v>
      </c>
      <c r="C1683" s="1100">
        <v>1.0286009054120409</v>
      </c>
      <c r="D1683" s="1100">
        <v>1.0249442659385288</v>
      </c>
      <c r="E1683" s="1100">
        <v>0.98193368067511411</v>
      </c>
      <c r="F1683" s="1100">
        <v>0.98072753629754095</v>
      </c>
      <c r="G1683" s="1100">
        <v>1.003024195115773</v>
      </c>
      <c r="H1683" s="1100">
        <v>1.018611580395866</v>
      </c>
      <c r="I1683" s="1100">
        <v>0.98374686163880909</v>
      </c>
      <c r="K1683">
        <v>1.2888506145108556</v>
      </c>
      <c r="L1683">
        <v>0</v>
      </c>
      <c r="M1683">
        <v>6.118195302963074E-4</v>
      </c>
      <c r="N1683">
        <v>5.3271653262622086E-2</v>
      </c>
      <c r="O1683">
        <v>7.4678528863240867E-3</v>
      </c>
      <c r="P1683">
        <v>1.5714519066878561E-2</v>
      </c>
      <c r="Q1683">
        <v>4.2455096296551553E-4</v>
      </c>
      <c r="R1683">
        <v>6.1004714333951198E-4</v>
      </c>
      <c r="S1683">
        <v>5.7690571835702809E-2</v>
      </c>
      <c r="T1683">
        <v>1.0130144737074644</v>
      </c>
      <c r="U1683">
        <v>0</v>
      </c>
      <c r="V1683">
        <v>9.715659033867205E-2</v>
      </c>
      <c r="W1683">
        <v>3.5376377207404684E-2</v>
      </c>
      <c r="X1683">
        <v>7.0754504075929096E-3</v>
      </c>
      <c r="Y1683">
        <v>1.6603472221833977E-3</v>
      </c>
    </row>
    <row r="1684" spans="1:25" x14ac:dyDescent="0.25">
      <c r="A1684" s="1096"/>
      <c r="B1684" s="1455">
        <v>1434</v>
      </c>
      <c r="C1684" s="1100">
        <v>1.0225551057895728</v>
      </c>
      <c r="D1684" s="1100">
        <v>0.97287884565902893</v>
      </c>
      <c r="E1684" s="1100">
        <v>1.0171226033567924</v>
      </c>
      <c r="F1684" s="1100">
        <v>0.98509011496739041</v>
      </c>
      <c r="G1684" s="1100">
        <v>0.97591233918254749</v>
      </c>
      <c r="H1684" s="1100">
        <v>0.97995693005548179</v>
      </c>
      <c r="I1684" s="1100">
        <v>1.0108302596050713</v>
      </c>
      <c r="K1684">
        <v>1.2959930825777566</v>
      </c>
      <c r="L1684">
        <v>0</v>
      </c>
      <c r="M1684">
        <v>5.6200586990076782E-4</v>
      </c>
      <c r="N1684">
        <v>5.4417279841081113E-2</v>
      </c>
      <c r="O1684">
        <v>7.678843269638802E-3</v>
      </c>
      <c r="P1684">
        <v>1.6199395420330883E-2</v>
      </c>
      <c r="Q1684">
        <v>4.5226789474339798E-4</v>
      </c>
      <c r="R1684">
        <v>5.6031356862650244E-4</v>
      </c>
      <c r="S1684">
        <v>6.0171045079059404E-2</v>
      </c>
      <c r="T1684">
        <v>1.0164883866529786</v>
      </c>
      <c r="U1684">
        <v>0</v>
      </c>
      <c r="V1684">
        <v>9.6026247273203955E-2</v>
      </c>
      <c r="W1684">
        <v>3.5388916319043527E-2</v>
      </c>
      <c r="X1684">
        <v>7.6474043024677496E-3</v>
      </c>
      <c r="Y1684">
        <v>1.5249888264830831E-3</v>
      </c>
    </row>
    <row r="1685" spans="1:25" x14ac:dyDescent="0.25">
      <c r="A1685" s="1096"/>
      <c r="B1685" s="1455">
        <v>1435</v>
      </c>
      <c r="C1685" s="1100">
        <v>0.97412745888692032</v>
      </c>
      <c r="D1685" s="1100">
        <v>1.030182825896186</v>
      </c>
      <c r="E1685" s="1100">
        <v>1.0269875601927092</v>
      </c>
      <c r="F1685" s="1100">
        <v>0.95342385678647001</v>
      </c>
      <c r="G1685" s="1100">
        <v>1.029568131840561</v>
      </c>
      <c r="H1685" s="1100">
        <v>0.96285651057627653</v>
      </c>
      <c r="I1685" s="1100">
        <v>0.98282842080480171</v>
      </c>
      <c r="K1685">
        <v>1.2670158186940652</v>
      </c>
      <c r="L1685">
        <v>0</v>
      </c>
      <c r="M1685">
        <v>5.5501819951884297E-4</v>
      </c>
      <c r="N1685">
        <v>5.536085052052634E-2</v>
      </c>
      <c r="O1685">
        <v>7.8806197773395002E-3</v>
      </c>
      <c r="P1685">
        <v>1.5895630075455709E-2</v>
      </c>
      <c r="Q1685">
        <v>4.6872134548813941E-4</v>
      </c>
      <c r="R1685">
        <v>5.5331725765084272E-4</v>
      </c>
      <c r="S1685">
        <v>5.9040234859466523E-2</v>
      </c>
      <c r="T1685">
        <v>0.98353901881800621</v>
      </c>
      <c r="U1685">
        <v>0</v>
      </c>
      <c r="V1685">
        <v>9.9838759360078633E-2</v>
      </c>
      <c r="W1685">
        <v>3.5795685698963416E-2</v>
      </c>
      <c r="X1685">
        <v>7.6920520062675867E-3</v>
      </c>
      <c r="Y1685">
        <v>1.5059471743406306E-3</v>
      </c>
    </row>
    <row r="1686" spans="1:25" x14ac:dyDescent="0.25">
      <c r="A1686" s="1096"/>
      <c r="B1686" s="1455">
        <v>1436</v>
      </c>
      <c r="C1686" s="1100">
        <v>0.97910858946315393</v>
      </c>
      <c r="D1686" s="1100">
        <v>1.0126922053212557</v>
      </c>
      <c r="E1686" s="1100">
        <v>0.97862475858739573</v>
      </c>
      <c r="F1686" s="1100">
        <v>1.0059063031826523</v>
      </c>
      <c r="G1686" s="1100">
        <v>0.99828990180158428</v>
      </c>
      <c r="H1686" s="1100">
        <v>1.0248334739110079</v>
      </c>
      <c r="I1686" s="1100">
        <v>0.98451083563878539</v>
      </c>
      <c r="K1686">
        <v>1.3258735701586055</v>
      </c>
      <c r="L1686">
        <v>0</v>
      </c>
      <c r="M1686">
        <v>6.5425164042008448E-4</v>
      </c>
      <c r="N1686">
        <v>5.6399777944682941E-2</v>
      </c>
      <c r="O1686">
        <v>7.8823475022231915E-3</v>
      </c>
      <c r="P1686">
        <v>1.6086262858250013E-2</v>
      </c>
      <c r="Q1686">
        <v>4.4661084943288954E-4</v>
      </c>
      <c r="R1686">
        <v>6.5236783806134596E-4</v>
      </c>
      <c r="S1686">
        <v>6.1231715216158999E-2</v>
      </c>
      <c r="T1686">
        <v>1.0391231947701318</v>
      </c>
      <c r="U1686">
        <v>0</v>
      </c>
      <c r="V1686">
        <v>9.8141444932083946E-2</v>
      </c>
      <c r="W1686">
        <v>3.7528577719543932E-2</v>
      </c>
      <c r="X1686">
        <v>7.2599919662531855E-3</v>
      </c>
      <c r="Y1686">
        <v>1.7755302022029633E-3</v>
      </c>
    </row>
    <row r="1687" spans="1:25" x14ac:dyDescent="0.25">
      <c r="A1687" s="1096"/>
      <c r="B1687" s="1455">
        <v>1437</v>
      </c>
      <c r="C1687" s="1100">
        <v>0.97392020253518741</v>
      </c>
      <c r="D1687" s="1100">
        <v>1.0149984949622965</v>
      </c>
      <c r="E1687" s="1100">
        <v>1.0018983190727497</v>
      </c>
      <c r="F1687" s="1100">
        <v>0.9915101215625689</v>
      </c>
      <c r="G1687" s="1100">
        <v>1.0048470346885723</v>
      </c>
      <c r="H1687" s="1100">
        <v>0.98222744785494009</v>
      </c>
      <c r="I1687" s="1100">
        <v>0.99692350095766114</v>
      </c>
      <c r="K1687">
        <v>1.308764109737288</v>
      </c>
      <c r="L1687">
        <v>0</v>
      </c>
      <c r="M1687">
        <v>6.0018019627625509E-4</v>
      </c>
      <c r="N1687">
        <v>5.5503308555428205E-2</v>
      </c>
      <c r="O1687">
        <v>7.9229542663297372E-3</v>
      </c>
      <c r="P1687">
        <v>1.6160727941890607E-2</v>
      </c>
      <c r="Q1687">
        <v>4.5959559270805352E-4</v>
      </c>
      <c r="R1687">
        <v>5.9837712284718694E-4</v>
      </c>
      <c r="S1687">
        <v>6.0957817862333688E-2</v>
      </c>
      <c r="T1687">
        <v>1.0235580559686517</v>
      </c>
      <c r="U1687">
        <v>0</v>
      </c>
      <c r="V1687">
        <v>9.8619563103373734E-2</v>
      </c>
      <c r="W1687">
        <v>3.642081623658714E-2</v>
      </c>
      <c r="X1687">
        <v>7.5344880099874395E-3</v>
      </c>
      <c r="Y1687">
        <v>1.6285852734245097E-3</v>
      </c>
    </row>
    <row r="1688" spans="1:25" x14ac:dyDescent="0.25">
      <c r="A1688" s="1096"/>
      <c r="B1688" s="1455">
        <v>1438</v>
      </c>
      <c r="C1688" s="1100">
        <v>1.0210065870775729</v>
      </c>
      <c r="D1688" s="1100">
        <v>1.018179870913805</v>
      </c>
      <c r="E1688" s="1100">
        <v>1.046323565195568</v>
      </c>
      <c r="F1688" s="1100">
        <v>0.98740323989069467</v>
      </c>
      <c r="G1688" s="1100">
        <v>0.99928092552338976</v>
      </c>
      <c r="H1688" s="1100">
        <v>0.97605314802810106</v>
      </c>
      <c r="I1688" s="1100">
        <v>0.99108497860745726</v>
      </c>
      <c r="K1688">
        <v>1.2966416085343615</v>
      </c>
      <c r="L1688">
        <v>0</v>
      </c>
      <c r="M1688">
        <v>5.1799612983059241E-4</v>
      </c>
      <c r="N1688">
        <v>5.4769994069753122E-2</v>
      </c>
      <c r="O1688">
        <v>7.5587547395762266E-3</v>
      </c>
      <c r="P1688">
        <v>1.654834831100805E-2</v>
      </c>
      <c r="Q1688">
        <v>4.582231277127887E-4</v>
      </c>
      <c r="R1688">
        <v>5.1643011140790407E-4</v>
      </c>
      <c r="S1688">
        <v>5.7568632283113499E-2</v>
      </c>
      <c r="T1688">
        <v>1.0180441293665903</v>
      </c>
      <c r="U1688">
        <v>0</v>
      </c>
      <c r="V1688">
        <v>9.7226389379905784E-2</v>
      </c>
      <c r="W1688">
        <v>3.5020422737259735E-2</v>
      </c>
      <c r="X1688">
        <v>8.0427280157519942E-3</v>
      </c>
      <c r="Y1688">
        <v>1.4055525221118423E-3</v>
      </c>
    </row>
    <row r="1689" spans="1:25" x14ac:dyDescent="0.25">
      <c r="A1689" s="1096"/>
      <c r="B1689" s="1455">
        <v>1439</v>
      </c>
      <c r="C1689" s="1100">
        <v>0.99573761103623182</v>
      </c>
      <c r="D1689" s="1100">
        <v>1.02284661749071</v>
      </c>
      <c r="E1689" s="1100">
        <v>1.0279795169433328</v>
      </c>
      <c r="F1689" s="1100">
        <v>0.96309014852361075</v>
      </c>
      <c r="G1689" s="1100">
        <v>0.99652286573559501</v>
      </c>
      <c r="H1689" s="1100">
        <v>1.0022129368038561</v>
      </c>
      <c r="I1689" s="1100">
        <v>1.0002849557666067</v>
      </c>
      <c r="K1689">
        <v>1.278037999301715</v>
      </c>
      <c r="L1689">
        <v>0</v>
      </c>
      <c r="M1689">
        <v>5.6561470147280246E-4</v>
      </c>
      <c r="N1689">
        <v>5.6593631678038353E-2</v>
      </c>
      <c r="O1689">
        <v>7.7319036594229061E-3</v>
      </c>
      <c r="P1689">
        <v>1.6031897180077064E-2</v>
      </c>
      <c r="Q1689">
        <v>4.6032791428293626E-4</v>
      </c>
      <c r="R1689">
        <v>5.6394935537765764E-4</v>
      </c>
      <c r="S1689">
        <v>6.0209198303143863E-2</v>
      </c>
      <c r="T1689">
        <v>0.9934829764200972</v>
      </c>
      <c r="U1689">
        <v>0</v>
      </c>
      <c r="V1689">
        <v>9.7688582135914151E-2</v>
      </c>
      <c r="W1689">
        <v>3.6571681796196853E-2</v>
      </c>
      <c r="X1689">
        <v>7.7345813211541622E-3</v>
      </c>
      <c r="Y1689">
        <v>1.5348842394829474E-3</v>
      </c>
    </row>
    <row r="1690" spans="1:25" x14ac:dyDescent="0.25">
      <c r="A1690" s="1096"/>
      <c r="B1690" s="1455">
        <v>1440</v>
      </c>
      <c r="C1690" s="1100">
        <v>0.97192646584024356</v>
      </c>
      <c r="D1690" s="1100">
        <v>0.99883063089693613</v>
      </c>
      <c r="E1690" s="1100">
        <v>1.0022977903329862</v>
      </c>
      <c r="F1690" s="1100">
        <v>0.98905631367915237</v>
      </c>
      <c r="G1690" s="1100">
        <v>1.0164797537049297</v>
      </c>
      <c r="H1690" s="1100">
        <v>1.0082102337443757</v>
      </c>
      <c r="I1690" s="1100">
        <v>1.0021618521770193</v>
      </c>
      <c r="K1690">
        <v>1.3120638066112806</v>
      </c>
      <c r="L1690">
        <v>0</v>
      </c>
      <c r="M1690">
        <v>6.2078340220001339E-4</v>
      </c>
      <c r="N1690">
        <v>5.7482426965136509E-2</v>
      </c>
      <c r="O1690">
        <v>7.9904644198036147E-3</v>
      </c>
      <c r="P1690">
        <v>1.6163745220077175E-2</v>
      </c>
      <c r="Q1690">
        <v>4.6369766897822059E-4</v>
      </c>
      <c r="R1690">
        <v>6.1896649471652348E-4</v>
      </c>
      <c r="S1690">
        <v>6.2754833604173998E-2</v>
      </c>
      <c r="T1690">
        <v>1.0210131997737337</v>
      </c>
      <c r="U1690">
        <v>0</v>
      </c>
      <c r="V1690">
        <v>9.9234978324614545E-2</v>
      </c>
      <c r="W1690">
        <v>3.7710557888667479E-2</v>
      </c>
      <c r="X1690">
        <v>7.5670968972097246E-3</v>
      </c>
      <c r="Y1690">
        <v>1.6846227563682308E-3</v>
      </c>
    </row>
    <row r="1691" spans="1:25" x14ac:dyDescent="0.25">
      <c r="A1691" s="1096"/>
      <c r="B1691" s="1455">
        <v>1441</v>
      </c>
      <c r="C1691" s="1100">
        <v>1.0098746019250358</v>
      </c>
      <c r="D1691" s="1100">
        <v>1.0014693906856007</v>
      </c>
      <c r="E1691" s="1100">
        <v>1.006460078290897</v>
      </c>
      <c r="F1691" s="1100">
        <v>0.9830943829208747</v>
      </c>
      <c r="G1691" s="1100">
        <v>0.97713343386889195</v>
      </c>
      <c r="H1691" s="1100">
        <v>1.0065354015220891</v>
      </c>
      <c r="I1691" s="1100">
        <v>0.99863028163167622</v>
      </c>
      <c r="K1691">
        <v>1.2960851064968852</v>
      </c>
      <c r="L1691">
        <v>0</v>
      </c>
      <c r="M1691">
        <v>5.9070887832582668E-4</v>
      </c>
      <c r="N1691">
        <v>5.5389308956583831E-2</v>
      </c>
      <c r="O1691">
        <v>7.6831064142291305E-3</v>
      </c>
      <c r="P1691">
        <v>1.6051578219658427E-2</v>
      </c>
      <c r="Q1691">
        <v>4.4772605123591407E-4</v>
      </c>
      <c r="R1691">
        <v>5.8897711610000783E-4</v>
      </c>
      <c r="S1691">
        <v>6.0052330339269669E-2</v>
      </c>
      <c r="T1691">
        <v>1.0147373732892884</v>
      </c>
      <c r="U1691">
        <v>0</v>
      </c>
      <c r="V1691">
        <v>9.6377899998592059E-2</v>
      </c>
      <c r="W1691">
        <v>3.6247924145254823E-2</v>
      </c>
      <c r="X1691">
        <v>7.4965892912278211E-3</v>
      </c>
      <c r="Y1691">
        <v>1.6030015537700792E-3</v>
      </c>
    </row>
    <row r="1692" spans="1:25" x14ac:dyDescent="0.25">
      <c r="A1692" s="1096"/>
      <c r="B1692" s="1455">
        <v>1442</v>
      </c>
      <c r="C1692" s="1100">
        <v>1.0089298642296349</v>
      </c>
      <c r="D1692" s="1100">
        <v>0.97953430468958436</v>
      </c>
      <c r="E1692" s="1100">
        <v>0.96668140618584031</v>
      </c>
      <c r="F1692" s="1100">
        <v>0.97999531449813926</v>
      </c>
      <c r="G1692" s="1100">
        <v>1.0124097714872025</v>
      </c>
      <c r="H1692" s="1100">
        <v>1.0357698363488452</v>
      </c>
      <c r="I1692" s="1100">
        <v>0.99739346354747782</v>
      </c>
      <c r="K1692">
        <v>1.2974610580870458</v>
      </c>
      <c r="L1692">
        <v>0</v>
      </c>
      <c r="M1692">
        <v>6.6653137155757891E-4</v>
      </c>
      <c r="N1692">
        <v>5.541968205891417E-2</v>
      </c>
      <c r="O1692">
        <v>7.7489906205592644E-3</v>
      </c>
      <c r="P1692">
        <v>1.5592671826288575E-2</v>
      </c>
      <c r="Q1692">
        <v>4.3373573894825407E-4</v>
      </c>
      <c r="R1692">
        <v>6.6463247566926544E-4</v>
      </c>
      <c r="S1692">
        <v>6.1601669774308566E-2</v>
      </c>
      <c r="T1692">
        <v>1.0127145358523373</v>
      </c>
      <c r="U1692">
        <v>0</v>
      </c>
      <c r="V1692">
        <v>9.8063354356094631E-2</v>
      </c>
      <c r="W1692">
        <v>3.7144887920258475E-2</v>
      </c>
      <c r="X1692">
        <v>6.9345183324879753E-3</v>
      </c>
      <c r="Y1692">
        <v>1.80891050273502E-3</v>
      </c>
    </row>
    <row r="1693" spans="1:25" x14ac:dyDescent="0.25">
      <c r="A1693" s="1096"/>
      <c r="B1693" s="1455">
        <v>1443</v>
      </c>
      <c r="C1693" s="1100">
        <v>1.0226277687542851</v>
      </c>
      <c r="D1693" s="1100">
        <v>1.0058665254605945</v>
      </c>
      <c r="E1693" s="1100">
        <v>1.0326614010670607</v>
      </c>
      <c r="F1693" s="1100">
        <v>1.0004559840890708</v>
      </c>
      <c r="G1693" s="1100">
        <v>1.0102460051997946</v>
      </c>
      <c r="H1693" s="1100">
        <v>0.96621843819872488</v>
      </c>
      <c r="I1693" s="1100">
        <v>1.0080575693389604</v>
      </c>
      <c r="K1693">
        <v>1.3104411712240795</v>
      </c>
      <c r="L1693">
        <v>0</v>
      </c>
      <c r="M1693">
        <v>5.2933939128171805E-4</v>
      </c>
      <c r="N1693">
        <v>5.3710939198470524E-2</v>
      </c>
      <c r="O1693">
        <v>7.580299474824386E-3</v>
      </c>
      <c r="P1693">
        <v>1.6599931196458455E-2</v>
      </c>
      <c r="Q1693">
        <v>4.5339551214549891E-4</v>
      </c>
      <c r="R1693">
        <v>5.2772279077284987E-4</v>
      </c>
      <c r="S1693">
        <v>5.8536860441430347E-2</v>
      </c>
      <c r="T1693">
        <v>1.0318927804120439</v>
      </c>
      <c r="U1693">
        <v>0</v>
      </c>
      <c r="V1693">
        <v>9.7703095361592426E-2</v>
      </c>
      <c r="W1693">
        <v>3.4614663989035989E-2</v>
      </c>
      <c r="X1693">
        <v>7.9145347658738149E-3</v>
      </c>
      <c r="Y1693">
        <v>1.436287472712473E-3</v>
      </c>
    </row>
    <row r="1694" spans="1:25" x14ac:dyDescent="0.25">
      <c r="A1694" s="1096"/>
      <c r="B1694" s="1455">
        <v>1444</v>
      </c>
      <c r="C1694" s="1100">
        <v>0.97065492750124993</v>
      </c>
      <c r="D1694" s="1100">
        <v>1.0055345584659527</v>
      </c>
      <c r="E1694" s="1100">
        <v>0.96272062685578352</v>
      </c>
      <c r="F1694" s="1100">
        <v>0.9861682876819845</v>
      </c>
      <c r="G1694" s="1100">
        <v>0.99115845551934023</v>
      </c>
      <c r="H1694" s="1100">
        <v>0.98761039333168532</v>
      </c>
      <c r="I1694" s="1100">
        <v>0.96373811770898854</v>
      </c>
      <c r="K1694">
        <v>1.3000182092060544</v>
      </c>
      <c r="L1694">
        <v>0</v>
      </c>
      <c r="M1694">
        <v>6.5907718260413211E-4</v>
      </c>
      <c r="N1694">
        <v>5.4138817327462237E-2</v>
      </c>
      <c r="O1694">
        <v>7.969593360177437E-3</v>
      </c>
      <c r="P1694">
        <v>1.5603276594098723E-2</v>
      </c>
      <c r="Q1694">
        <v>4.4427605520181552E-4</v>
      </c>
      <c r="R1694">
        <v>6.5710796167343607E-4</v>
      </c>
      <c r="S1694">
        <v>5.9550550202752232E-2</v>
      </c>
      <c r="T1694">
        <v>1.0192139979240626</v>
      </c>
      <c r="U1694">
        <v>0</v>
      </c>
      <c r="V1694">
        <v>9.7999185250501872E-2</v>
      </c>
      <c r="W1694">
        <v>3.6374341668780785E-2</v>
      </c>
      <c r="X1694">
        <v>6.9377087878540952E-3</v>
      </c>
      <c r="Y1694">
        <v>1.7884312560937443E-3</v>
      </c>
    </row>
    <row r="1695" spans="1:25" x14ac:dyDescent="0.25">
      <c r="A1695" s="1096"/>
      <c r="B1695" s="1455">
        <v>1445</v>
      </c>
      <c r="C1695" s="1100">
        <v>0.98012927531649274</v>
      </c>
      <c r="D1695" s="1100">
        <v>0.97046965373305571</v>
      </c>
      <c r="E1695" s="1100">
        <v>1.0129782096634077</v>
      </c>
      <c r="F1695" s="1100">
        <v>0.98014255140979678</v>
      </c>
      <c r="G1695" s="1100">
        <v>1.0166423930901611</v>
      </c>
      <c r="H1695" s="1100">
        <v>0.99355932496272314</v>
      </c>
      <c r="I1695" s="1100">
        <v>1.0263493711508971</v>
      </c>
      <c r="K1695">
        <v>1.303604577783793</v>
      </c>
      <c r="L1695">
        <v>0</v>
      </c>
      <c r="M1695">
        <v>6.0021093255075092E-4</v>
      </c>
      <c r="N1695">
        <v>5.7396577100423854E-2</v>
      </c>
      <c r="O1695">
        <v>8.0181256406562998E-3</v>
      </c>
      <c r="P1695">
        <v>1.6179279747326573E-2</v>
      </c>
      <c r="Q1695">
        <v>4.7030390045627642E-4</v>
      </c>
      <c r="R1695">
        <v>5.9842833249308604E-4</v>
      </c>
      <c r="S1695">
        <v>6.426056400330242E-2</v>
      </c>
      <c r="T1695">
        <v>1.0115022180404674</v>
      </c>
      <c r="U1695">
        <v>0</v>
      </c>
      <c r="V1695">
        <v>9.9041535470320172E-2</v>
      </c>
      <c r="W1695">
        <v>3.7417396581379513E-2</v>
      </c>
      <c r="X1695">
        <v>7.6916352503168112E-3</v>
      </c>
      <c r="Y1695">
        <v>1.6287246491993917E-3</v>
      </c>
    </row>
    <row r="1696" spans="1:25" x14ac:dyDescent="0.25">
      <c r="A1696" s="1096"/>
      <c r="B1696" s="1455">
        <v>1446</v>
      </c>
      <c r="C1696" s="1100">
        <v>1.022041299963691</v>
      </c>
      <c r="D1696" s="1100">
        <v>0.98406433263293414</v>
      </c>
      <c r="E1696" s="1100">
        <v>1.0104051349422265</v>
      </c>
      <c r="F1696" s="1100">
        <v>1.0084980340176304</v>
      </c>
      <c r="G1696" s="1100">
        <v>1.0180574658683972</v>
      </c>
      <c r="H1696" s="1100">
        <v>0.97351769585565062</v>
      </c>
      <c r="I1696" s="1100">
        <v>0.97176035507088121</v>
      </c>
      <c r="K1696">
        <v>1.3183810729456567</v>
      </c>
      <c r="L1696">
        <v>0</v>
      </c>
      <c r="M1696">
        <v>5.6386404855380645E-4</v>
      </c>
      <c r="N1696">
        <v>5.3500351625969909E-2</v>
      </c>
      <c r="O1696">
        <v>7.6460259725719742E-3</v>
      </c>
      <c r="P1696">
        <v>1.6443085435876845E-2</v>
      </c>
      <c r="Q1696">
        <v>4.4732736426819782E-4</v>
      </c>
      <c r="R1696">
        <v>5.6215492140269008E-4</v>
      </c>
      <c r="S1696">
        <v>5.7324913341535381E-2</v>
      </c>
      <c r="T1696">
        <v>1.0408412706806762</v>
      </c>
      <c r="U1696">
        <v>0</v>
      </c>
      <c r="V1696">
        <v>9.8069998798893596E-2</v>
      </c>
      <c r="W1696">
        <v>3.4930297055629091E-2</v>
      </c>
      <c r="X1696">
        <v>7.64951141564777E-3</v>
      </c>
      <c r="Y1696">
        <v>1.5300003817380866E-3</v>
      </c>
    </row>
    <row r="1697" spans="1:25" x14ac:dyDescent="0.25">
      <c r="A1697" s="1096"/>
      <c r="B1697" s="1455">
        <v>1447</v>
      </c>
      <c r="C1697" s="1100">
        <v>0.98699959992992214</v>
      </c>
      <c r="D1697" s="1100">
        <v>0.9794443312319786</v>
      </c>
      <c r="E1697" s="1100">
        <v>0.96980957880808871</v>
      </c>
      <c r="F1697" s="1100">
        <v>1.0044809879853238</v>
      </c>
      <c r="G1697" s="1100">
        <v>1.019925257537698</v>
      </c>
      <c r="H1697" s="1100">
        <v>1.0054495341291216</v>
      </c>
      <c r="I1697" s="1100">
        <v>1.0005641994186634</v>
      </c>
      <c r="K1697">
        <v>1.3244538821025955</v>
      </c>
      <c r="L1697">
        <v>0</v>
      </c>
      <c r="M1697">
        <v>6.5716389858712343E-4</v>
      </c>
      <c r="N1697">
        <v>5.5156128521033326E-2</v>
      </c>
      <c r="O1697">
        <v>7.9222378698277241E-3</v>
      </c>
      <c r="P1697">
        <v>1.5986765105263225E-2</v>
      </c>
      <c r="Q1697">
        <v>4.4485436090394476E-4</v>
      </c>
      <c r="R1697">
        <v>6.5523523163661559E-4</v>
      </c>
      <c r="S1697">
        <v>6.2230932362542353E-2</v>
      </c>
      <c r="T1697">
        <v>1.037921201388174</v>
      </c>
      <c r="U1697">
        <v>0</v>
      </c>
      <c r="V1697">
        <v>9.8975819841278595E-2</v>
      </c>
      <c r="W1697">
        <v>3.6897826658583113E-2</v>
      </c>
      <c r="X1697">
        <v>7.1367103596587248E-3</v>
      </c>
      <c r="Y1697">
        <v>1.7833343022788091E-3</v>
      </c>
    </row>
    <row r="1698" spans="1:25" x14ac:dyDescent="0.25">
      <c r="A1698" s="1096"/>
      <c r="B1698" s="1455">
        <v>1448</v>
      </c>
      <c r="C1698" s="1100">
        <v>0.99444811063029104</v>
      </c>
      <c r="D1698" s="1100">
        <v>0.95997895493508023</v>
      </c>
      <c r="E1698" s="1100">
        <v>0.97465510663956445</v>
      </c>
      <c r="F1698" s="1100">
        <v>0.99160641536290761</v>
      </c>
      <c r="G1698" s="1100">
        <v>1.0140054244422947</v>
      </c>
      <c r="H1698" s="1100">
        <v>1.0105142301346233</v>
      </c>
      <c r="I1698" s="1100">
        <v>1.028601489524295</v>
      </c>
      <c r="K1698">
        <v>1.3134108247541316</v>
      </c>
      <c r="L1698">
        <v>0</v>
      </c>
      <c r="M1698">
        <v>6.5423221830123216E-4</v>
      </c>
      <c r="N1698">
        <v>5.5722322438805649E-2</v>
      </c>
      <c r="O1698">
        <v>7.9275000981677279E-3</v>
      </c>
      <c r="P1698">
        <v>1.5888279915468911E-2</v>
      </c>
      <c r="Q1698">
        <v>4.4735716631505413E-4</v>
      </c>
      <c r="R1698">
        <v>6.5232177869872538E-4</v>
      </c>
      <c r="S1698">
        <v>6.435108015881548E-2</v>
      </c>
      <c r="T1698">
        <v>1.0244710125920238</v>
      </c>
      <c r="U1698">
        <v>0</v>
      </c>
      <c r="V1698">
        <v>9.8506890479439044E-2</v>
      </c>
      <c r="W1698">
        <v>3.7167015462291439E-2</v>
      </c>
      <c r="X1698">
        <v>7.1558720386063627E-3</v>
      </c>
      <c r="Y1698">
        <v>1.7754048438013749E-3</v>
      </c>
    </row>
    <row r="1699" spans="1:25" x14ac:dyDescent="0.25">
      <c r="A1699" s="1096"/>
      <c r="B1699" s="1455">
        <v>1449</v>
      </c>
      <c r="C1699" s="1100">
        <v>0.95381001632429208</v>
      </c>
      <c r="D1699" s="1100">
        <v>0.98805447994429119</v>
      </c>
      <c r="E1699" s="1100">
        <v>1.0344390562899206</v>
      </c>
      <c r="F1699" s="1100">
        <v>0.97355012167713217</v>
      </c>
      <c r="G1699" s="1100">
        <v>1.0007682608807853</v>
      </c>
      <c r="H1699" s="1100">
        <v>0.98836899473646145</v>
      </c>
      <c r="I1699" s="1100">
        <v>1.0098851738043575</v>
      </c>
      <c r="K1699">
        <v>1.2996004424957437</v>
      </c>
      <c r="L1699">
        <v>0</v>
      </c>
      <c r="M1699">
        <v>5.8254290236857496E-4</v>
      </c>
      <c r="N1699">
        <v>5.9430992878482608E-2</v>
      </c>
      <c r="O1699">
        <v>8.1859740647927254E-3</v>
      </c>
      <c r="P1699">
        <v>1.632983586933574E-2</v>
      </c>
      <c r="Q1699">
        <v>4.9048195061828219E-4</v>
      </c>
      <c r="R1699">
        <v>5.8080368997901887E-4</v>
      </c>
      <c r="S1699">
        <v>6.4204098360784945E-2</v>
      </c>
      <c r="T1699">
        <v>1.0040916779742504</v>
      </c>
      <c r="U1699">
        <v>0</v>
      </c>
      <c r="V1699">
        <v>9.8995988843715577E-2</v>
      </c>
      <c r="W1699">
        <v>3.8261629622481037E-2</v>
      </c>
      <c r="X1699">
        <v>8.0307459614330744E-3</v>
      </c>
      <c r="Y1699">
        <v>1.5807561822379441E-3</v>
      </c>
    </row>
    <row r="1700" spans="1:25" x14ac:dyDescent="0.25">
      <c r="A1700" s="1096"/>
      <c r="B1700" s="1455">
        <v>1450</v>
      </c>
      <c r="C1700" s="1100">
        <v>1.034802029702161</v>
      </c>
      <c r="D1700" s="1100">
        <v>1.0390913265955157</v>
      </c>
      <c r="E1700" s="1100">
        <v>0.9845697555529167</v>
      </c>
      <c r="F1700" s="1100">
        <v>1.0116126805568701</v>
      </c>
      <c r="G1700" s="1100">
        <v>1.0180782469599847</v>
      </c>
      <c r="H1700" s="1100">
        <v>0.97970804301513903</v>
      </c>
      <c r="I1700" s="1100">
        <v>1.015947451778324</v>
      </c>
      <c r="K1700">
        <v>1.317452333233095</v>
      </c>
      <c r="L1700">
        <v>0</v>
      </c>
      <c r="M1700">
        <v>5.7856365486769624E-4</v>
      </c>
      <c r="N1700">
        <v>5.0773479493496601E-2</v>
      </c>
      <c r="O1700">
        <v>7.3831233524866953E-3</v>
      </c>
      <c r="P1700">
        <v>1.618221718592245E-2</v>
      </c>
      <c r="Q1700">
        <v>4.2085811334376967E-4</v>
      </c>
      <c r="R1700">
        <v>5.7682105252772461E-4</v>
      </c>
      <c r="S1700">
        <v>5.7644085400466942E-2</v>
      </c>
      <c r="T1700">
        <v>1.0448356923505884</v>
      </c>
      <c r="U1700">
        <v>0</v>
      </c>
      <c r="V1700">
        <v>9.7743331403397873E-2</v>
      </c>
      <c r="W1700">
        <v>3.3663914050593713E-2</v>
      </c>
      <c r="X1700">
        <v>7.2374577291659161E-3</v>
      </c>
      <c r="Y1700">
        <v>1.5699167559716043E-3</v>
      </c>
    </row>
    <row r="1701" spans="1:25" x14ac:dyDescent="0.25">
      <c r="A1701" s="1096"/>
      <c r="B1701" s="1455">
        <v>1451</v>
      </c>
      <c r="C1701" s="1100">
        <v>1.0080801783337745</v>
      </c>
      <c r="D1701" s="1100">
        <v>0.97210508368564519</v>
      </c>
      <c r="E1701" s="1100">
        <v>0.97141412166996544</v>
      </c>
      <c r="F1701" s="1100">
        <v>1.0119503157657292</v>
      </c>
      <c r="G1701" s="1100">
        <v>0.98807893928775647</v>
      </c>
      <c r="H1701" s="1100">
        <v>1.0133702768842294</v>
      </c>
      <c r="I1701" s="1100">
        <v>1.0141786507434054</v>
      </c>
      <c r="K1701">
        <v>1.3291933210536633</v>
      </c>
      <c r="L1701">
        <v>0</v>
      </c>
      <c r="M1701">
        <v>6.482930254041589E-4</v>
      </c>
      <c r="N1701">
        <v>5.4677832335283852E-2</v>
      </c>
      <c r="O1701">
        <v>7.7803359433226329E-3</v>
      </c>
      <c r="P1701">
        <v>1.608156173829578E-2</v>
      </c>
      <c r="Q1701">
        <v>4.3760301826961402E-4</v>
      </c>
      <c r="R1701">
        <v>6.4640526442062837E-4</v>
      </c>
      <c r="S1701">
        <v>6.225601846882306E-2</v>
      </c>
      <c r="T1701">
        <v>1.0455894329207607</v>
      </c>
      <c r="U1701">
        <v>0</v>
      </c>
      <c r="V1701">
        <v>9.6912434044707341E-2</v>
      </c>
      <c r="W1701">
        <v>3.6542174217692076E-2</v>
      </c>
      <c r="X1701">
        <v>7.1585140851741875E-3</v>
      </c>
      <c r="Y1701">
        <v>1.7593020423148024E-3</v>
      </c>
    </row>
    <row r="1702" spans="1:25" x14ac:dyDescent="0.25">
      <c r="A1702" s="1096"/>
      <c r="B1702" s="1455">
        <v>1452</v>
      </c>
      <c r="C1702" s="1100">
        <v>1.0323949707179545</v>
      </c>
      <c r="D1702" s="1100">
        <v>0.99482859921025724</v>
      </c>
      <c r="E1702" s="1100">
        <v>1.0143297710650425</v>
      </c>
      <c r="F1702" s="1100">
        <v>1.0140608993657658</v>
      </c>
      <c r="G1702" s="1100">
        <v>0.9659332240177273</v>
      </c>
      <c r="H1702" s="1100">
        <v>0.97161750710963024</v>
      </c>
      <c r="I1702" s="1100">
        <v>1.0162672183421204</v>
      </c>
      <c r="K1702">
        <v>1.3216820235026854</v>
      </c>
      <c r="L1702">
        <v>0</v>
      </c>
      <c r="M1702">
        <v>5.5019452527989873E-4</v>
      </c>
      <c r="N1702">
        <v>5.2825150614900118E-2</v>
      </c>
      <c r="O1702">
        <v>7.5374147244618135E-3</v>
      </c>
      <c r="P1702">
        <v>1.6552626058740156E-2</v>
      </c>
      <c r="Q1702">
        <v>4.4270427638476228E-4</v>
      </c>
      <c r="R1702">
        <v>5.4852357029054751E-4</v>
      </c>
      <c r="S1702">
        <v>5.8948995866840111E-2</v>
      </c>
      <c r="T1702">
        <v>1.0464655452056031</v>
      </c>
      <c r="U1702">
        <v>0</v>
      </c>
      <c r="V1702">
        <v>9.5309301652484663E-2</v>
      </c>
      <c r="W1702">
        <v>3.4409882250901844E-2</v>
      </c>
      <c r="X1702">
        <v>7.699173469772968E-3</v>
      </c>
      <c r="Y1702">
        <v>1.492900337584521E-3</v>
      </c>
    </row>
    <row r="1703" spans="1:25" x14ac:dyDescent="0.25">
      <c r="A1703" s="1096"/>
      <c r="B1703" s="1455">
        <v>1453</v>
      </c>
      <c r="C1703" s="1100">
        <v>1.0200759559800452</v>
      </c>
      <c r="D1703" s="1100">
        <v>0.98992384586808091</v>
      </c>
      <c r="E1703" s="1100">
        <v>0.99360035569383531</v>
      </c>
      <c r="F1703" s="1100">
        <v>1.0291498780755897</v>
      </c>
      <c r="G1703" s="1100">
        <v>1.0188714014448625</v>
      </c>
      <c r="H1703" s="1100">
        <v>1.0012997611077179</v>
      </c>
      <c r="I1703" s="1100">
        <v>0.97187314348711618</v>
      </c>
      <c r="K1703">
        <v>1.3424721532859996</v>
      </c>
      <c r="L1703">
        <v>0</v>
      </c>
      <c r="M1703">
        <v>6.0026455458861937E-4</v>
      </c>
      <c r="N1703">
        <v>5.4139632221463473E-2</v>
      </c>
      <c r="O1703">
        <v>7.6385252653762264E-3</v>
      </c>
      <c r="P1703">
        <v>1.654569101811822E-2</v>
      </c>
      <c r="Q1703">
        <v>4.3941135974349819E-4</v>
      </c>
      <c r="R1703">
        <v>5.9849557669792758E-4</v>
      </c>
      <c r="S1703">
        <v>5.8054578422581556E-2</v>
      </c>
      <c r="T1703">
        <v>1.0626691802290633</v>
      </c>
      <c r="U1703">
        <v>0</v>
      </c>
      <c r="V1703">
        <v>9.8137366918266231E-2</v>
      </c>
      <c r="W1703">
        <v>3.570193836883339E-2</v>
      </c>
      <c r="X1703">
        <v>7.5186907946861777E-3</v>
      </c>
      <c r="Y1703">
        <v>1.6289076657579249E-3</v>
      </c>
    </row>
    <row r="1704" spans="1:25" x14ac:dyDescent="0.25">
      <c r="A1704" s="1096"/>
      <c r="B1704" s="1455">
        <v>1454</v>
      </c>
      <c r="C1704" s="1100">
        <v>1.0061960123686533</v>
      </c>
      <c r="D1704" s="1100">
        <v>0.96690497040859713</v>
      </c>
      <c r="E1704" s="1100">
        <v>0.99905069214378217</v>
      </c>
      <c r="F1704" s="1100">
        <v>1.0270292736365922</v>
      </c>
      <c r="G1704" s="1100">
        <v>0.97251151754907394</v>
      </c>
      <c r="H1704" s="1100">
        <v>0.96548556839296151</v>
      </c>
      <c r="I1704" s="1100">
        <v>1.0047492166681693</v>
      </c>
      <c r="K1704">
        <v>1.3401230366176169</v>
      </c>
      <c r="L1704">
        <v>0</v>
      </c>
      <c r="M1704">
        <v>5.8567179303535284E-4</v>
      </c>
      <c r="N1704">
        <v>5.3694845005046572E-2</v>
      </c>
      <c r="O1704">
        <v>7.8184643516457271E-3</v>
      </c>
      <c r="P1704">
        <v>1.6588879970604688E-2</v>
      </c>
      <c r="Q1704">
        <v>4.5223834074538394E-4</v>
      </c>
      <c r="R1704">
        <v>5.8388179588343453E-4</v>
      </c>
      <c r="S1704">
        <v>6.0518429593577304E-2</v>
      </c>
      <c r="T1704">
        <v>1.0603122799361913</v>
      </c>
      <c r="U1704">
        <v>0</v>
      </c>
      <c r="V1704">
        <v>9.6235831133593824E-2</v>
      </c>
      <c r="W1704">
        <v>3.5293778219271849E-2</v>
      </c>
      <c r="X1704">
        <v>7.6209462922799147E-3</v>
      </c>
      <c r="Y1704">
        <v>1.5891337718124251E-3</v>
      </c>
    </row>
    <row r="1705" spans="1:25" x14ac:dyDescent="0.25">
      <c r="A1705" s="1096"/>
      <c r="B1705" s="1455">
        <v>1455</v>
      </c>
      <c r="C1705" s="1100">
        <v>1.0053464863535568</v>
      </c>
      <c r="D1705" s="1100">
        <v>1.0311177522096437</v>
      </c>
      <c r="E1705" s="1100">
        <v>1.0050367231799706</v>
      </c>
      <c r="F1705" s="1100">
        <v>0.9845602353043017</v>
      </c>
      <c r="G1705" s="1100">
        <v>1.0308001259002011</v>
      </c>
      <c r="H1705" s="1100">
        <v>1.0191217158353856</v>
      </c>
      <c r="I1705" s="1100">
        <v>0.99789512401237712</v>
      </c>
      <c r="K1705">
        <v>1.3003849101498433</v>
      </c>
      <c r="L1705">
        <v>0</v>
      </c>
      <c r="M1705">
        <v>5.9557620054085238E-4</v>
      </c>
      <c r="N1705">
        <v>5.560819028614488E-2</v>
      </c>
      <c r="O1705">
        <v>7.6278252837677536E-3</v>
      </c>
      <c r="P1705">
        <v>1.6088406855414544E-2</v>
      </c>
      <c r="Q1705">
        <v>4.438710992212467E-4</v>
      </c>
      <c r="R1705">
        <v>5.9385173270927254E-4</v>
      </c>
      <c r="S1705">
        <v>5.9719597840600977E-2</v>
      </c>
      <c r="T1705">
        <v>1.0162918795907505</v>
      </c>
      <c r="U1705">
        <v>0</v>
      </c>
      <c r="V1705">
        <v>9.9083178188715787E-2</v>
      </c>
      <c r="W1705">
        <v>3.6421823892147757E-2</v>
      </c>
      <c r="X1705">
        <v>7.4855929276494747E-3</v>
      </c>
      <c r="Y1705">
        <v>1.6162686532635649E-3</v>
      </c>
    </row>
    <row r="1706" spans="1:25" x14ac:dyDescent="0.25">
      <c r="A1706" s="1096"/>
      <c r="B1706" s="1455">
        <v>1456</v>
      </c>
      <c r="C1706" s="1100">
        <v>1.0117982771426448</v>
      </c>
      <c r="D1706" s="1100">
        <v>0.99422779376480386</v>
      </c>
      <c r="E1706" s="1100">
        <v>1.013837705428249</v>
      </c>
      <c r="F1706" s="1100">
        <v>1.0305122762449332</v>
      </c>
      <c r="G1706" s="1100">
        <v>0.97687667841483683</v>
      </c>
      <c r="H1706" s="1100">
        <v>0.99013133802890707</v>
      </c>
      <c r="I1706" s="1100">
        <v>0.9987454739616759</v>
      </c>
      <c r="K1706">
        <v>1.3445103230903406</v>
      </c>
      <c r="L1706">
        <v>0</v>
      </c>
      <c r="M1706">
        <v>5.7281564518171985E-4</v>
      </c>
      <c r="N1706">
        <v>5.4918556903110663E-2</v>
      </c>
      <c r="O1706">
        <v>7.6925890288917142E-3</v>
      </c>
      <c r="P1706">
        <v>1.6805017997124635E-2</v>
      </c>
      <c r="Q1706">
        <v>4.5159663075993741E-4</v>
      </c>
      <c r="R1706">
        <v>5.7110851797705022E-4</v>
      </c>
      <c r="S1706">
        <v>5.9690158070510299E-2</v>
      </c>
      <c r="T1706">
        <v>1.0634575121050864</v>
      </c>
      <c r="U1706">
        <v>0</v>
      </c>
      <c r="V1706">
        <v>9.6326992438260581E-2</v>
      </c>
      <c r="W1706">
        <v>3.5783858613304118E-2</v>
      </c>
      <c r="X1706">
        <v>7.8313793104348526E-3</v>
      </c>
      <c r="Y1706">
        <v>1.5543691200611773E-3</v>
      </c>
    </row>
    <row r="1707" spans="1:25" x14ac:dyDescent="0.25">
      <c r="A1707" s="1096"/>
      <c r="B1707" s="1455">
        <v>1457</v>
      </c>
      <c r="C1707" s="1100">
        <v>0.96987459157903499</v>
      </c>
      <c r="D1707" s="1100">
        <v>0.97448824941499246</v>
      </c>
      <c r="E1707" s="1100">
        <v>1.0364668181551078</v>
      </c>
      <c r="F1707" s="1100">
        <v>1.0340580055354849</v>
      </c>
      <c r="G1707" s="1100">
        <v>1.0302990108447314</v>
      </c>
      <c r="H1707" s="1100">
        <v>1.0457114314828042</v>
      </c>
      <c r="I1707" s="1100">
        <v>0.9789174633030443</v>
      </c>
      <c r="K1707">
        <v>1.3681011977965696</v>
      </c>
      <c r="L1707">
        <v>0</v>
      </c>
      <c r="M1707">
        <v>6.0692093016332911E-4</v>
      </c>
      <c r="N1707">
        <v>6.2307769327364204E-2</v>
      </c>
      <c r="O1707">
        <v>8.0955496817443316E-3</v>
      </c>
      <c r="P1707">
        <v>1.7230650431759253E-2</v>
      </c>
      <c r="Q1707">
        <v>4.8603450019521954E-4</v>
      </c>
      <c r="R1707">
        <v>6.0520829807252541E-4</v>
      </c>
      <c r="S1707">
        <v>6.3449879807204845E-2</v>
      </c>
      <c r="T1707">
        <v>1.0664375650034223</v>
      </c>
      <c r="U1707">
        <v>0</v>
      </c>
      <c r="V1707">
        <v>9.999665424770933E-2</v>
      </c>
      <c r="W1707">
        <v>4.0066708720078267E-2</v>
      </c>
      <c r="X1707">
        <v>8.3849212286901276E-3</v>
      </c>
      <c r="Y1707">
        <v>1.6471774804915733E-3</v>
      </c>
    </row>
    <row r="1708" spans="1:25" x14ac:dyDescent="0.25">
      <c r="A1708" s="1096"/>
      <c r="B1708" s="1455">
        <v>1458</v>
      </c>
      <c r="C1708" s="1100">
        <v>0.97916255367433225</v>
      </c>
      <c r="D1708" s="1100">
        <v>1.0216724291797341</v>
      </c>
      <c r="E1708" s="1100">
        <v>0.97642274983463839</v>
      </c>
      <c r="F1708" s="1100">
        <v>0.98296935620919312</v>
      </c>
      <c r="G1708" s="1100">
        <v>0.98319992965889713</v>
      </c>
      <c r="H1708" s="1100">
        <v>1.000750366801286</v>
      </c>
      <c r="I1708" s="1100">
        <v>0.98598889292654557</v>
      </c>
      <c r="K1708">
        <v>1.2972912156810039</v>
      </c>
      <c r="L1708">
        <v>0</v>
      </c>
      <c r="M1708">
        <v>6.3949380161840044E-4</v>
      </c>
      <c r="N1708">
        <v>5.4757637881080373E-2</v>
      </c>
      <c r="O1708">
        <v>7.8535823703845438E-3</v>
      </c>
      <c r="P1708">
        <v>1.5720343665578281E-2</v>
      </c>
      <c r="Q1708">
        <v>4.4398485123005581E-4</v>
      </c>
      <c r="R1708">
        <v>6.3760818064650298E-4</v>
      </c>
      <c r="S1708">
        <v>6.0295697653550542E-2</v>
      </c>
      <c r="T1708">
        <v>1.0154947083529284</v>
      </c>
      <c r="U1708">
        <v>0</v>
      </c>
      <c r="V1708">
        <v>9.7407705244750134E-2</v>
      </c>
      <c r="W1708">
        <v>3.6484466514023789E-2</v>
      </c>
      <c r="X1708">
        <v>7.0996154882087131E-3</v>
      </c>
      <c r="Y1708">
        <v>1.7353592802395199E-3</v>
      </c>
    </row>
    <row r="1709" spans="1:25" x14ac:dyDescent="0.25">
      <c r="A1709" s="1096"/>
      <c r="B1709" s="1455">
        <v>1459</v>
      </c>
      <c r="C1709" s="1100">
        <v>1.0038897792233876</v>
      </c>
      <c r="D1709" s="1100">
        <v>1.0084929833932097</v>
      </c>
      <c r="E1709" s="1100">
        <v>1.0177134344677028</v>
      </c>
      <c r="F1709" s="1100">
        <v>0.9699274468117981</v>
      </c>
      <c r="G1709" s="1100">
        <v>1.0053713067259666</v>
      </c>
      <c r="H1709" s="1100">
        <v>0.99737781063368347</v>
      </c>
      <c r="I1709" s="1100">
        <v>1.0360232860565068</v>
      </c>
      <c r="K1709">
        <v>1.2860867245326286</v>
      </c>
      <c r="L1709">
        <v>0</v>
      </c>
      <c r="M1709">
        <v>5.7360763954860186E-4</v>
      </c>
      <c r="N1709">
        <v>5.5642681573286626E-2</v>
      </c>
      <c r="O1709">
        <v>7.7100816303708394E-3</v>
      </c>
      <c r="P1709">
        <v>1.6043458321679752E-2</v>
      </c>
      <c r="Q1709">
        <v>4.5437495708472691E-4</v>
      </c>
      <c r="R1709">
        <v>5.7191057233491819E-4</v>
      </c>
      <c r="S1709">
        <v>6.2161804206081868E-2</v>
      </c>
      <c r="T1709">
        <v>1.0008256705273606</v>
      </c>
      <c r="U1709">
        <v>0</v>
      </c>
      <c r="V1709">
        <v>9.790295605729428E-2</v>
      </c>
      <c r="W1709">
        <v>3.6173294151758836E-2</v>
      </c>
      <c r="X1709">
        <v>7.617548127298028E-3</v>
      </c>
      <c r="Y1709">
        <v>1.5565520476261458E-3</v>
      </c>
    </row>
    <row r="1710" spans="1:25" x14ac:dyDescent="0.25">
      <c r="A1710" s="1096"/>
      <c r="B1710" s="1455">
        <v>1460</v>
      </c>
      <c r="C1710" s="1100">
        <v>0.96578975844606496</v>
      </c>
      <c r="D1710" s="1100">
        <v>0.98081729717147204</v>
      </c>
      <c r="E1710" s="1100">
        <v>0.99331304337250315</v>
      </c>
      <c r="F1710" s="1100">
        <v>1.0049800869275958</v>
      </c>
      <c r="G1710" s="1100">
        <v>0.9998323509723771</v>
      </c>
      <c r="H1710" s="1100">
        <v>0.97667779981157821</v>
      </c>
      <c r="I1710" s="1100">
        <v>1.0231782765198973</v>
      </c>
      <c r="K1710">
        <v>1.3273146421442954</v>
      </c>
      <c r="L1710">
        <v>0</v>
      </c>
      <c r="M1710">
        <v>6.2107471708651039E-4</v>
      </c>
      <c r="N1710">
        <v>5.5963765411325667E-2</v>
      </c>
      <c r="O1710">
        <v>8.0976865111097879E-3</v>
      </c>
      <c r="P1710">
        <v>1.6291306850559326E-2</v>
      </c>
      <c r="Q1710">
        <v>4.6568992325223332E-4</v>
      </c>
      <c r="R1710">
        <v>6.191982698702988E-4</v>
      </c>
      <c r="S1710">
        <v>6.4072798732643252E-2</v>
      </c>
      <c r="T1710">
        <v>1.0377208323703322</v>
      </c>
      <c r="U1710">
        <v>0</v>
      </c>
      <c r="V1710">
        <v>9.8581500148213236E-2</v>
      </c>
      <c r="W1710">
        <v>3.6911183281485092E-2</v>
      </c>
      <c r="X1710">
        <v>7.5265017906582269E-3</v>
      </c>
      <c r="Y1710">
        <v>1.685253571932149E-3</v>
      </c>
    </row>
    <row r="1711" spans="1:25" x14ac:dyDescent="0.25">
      <c r="A1711" s="1096"/>
      <c r="B1711" s="1455">
        <v>1461</v>
      </c>
      <c r="C1711" s="1100">
        <v>1.0053376128545126</v>
      </c>
      <c r="D1711" s="1100">
        <v>1.0082949424523493</v>
      </c>
      <c r="E1711" s="1100">
        <v>1.0424922619360557</v>
      </c>
      <c r="F1711" s="1100">
        <v>1.0024720683148247</v>
      </c>
      <c r="G1711" s="1100">
        <v>1.004404294797951</v>
      </c>
      <c r="H1711" s="1100">
        <v>0.97682618409567534</v>
      </c>
      <c r="I1711" s="1100">
        <v>1.0227847063569879</v>
      </c>
      <c r="K1711">
        <v>1.3181016140787332</v>
      </c>
      <c r="L1711">
        <v>0</v>
      </c>
      <c r="M1711">
        <v>5.3279029522343684E-4</v>
      </c>
      <c r="N1711">
        <v>5.5688154787286316E-2</v>
      </c>
      <c r="O1711">
        <v>7.7056404503641042E-3</v>
      </c>
      <c r="P1711">
        <v>1.6775528600349487E-2</v>
      </c>
      <c r="Q1711">
        <v>4.6537529186423463E-4</v>
      </c>
      <c r="R1711">
        <v>5.3118082542560712E-4</v>
      </c>
      <c r="S1711">
        <v>6.0673382728889245E-2</v>
      </c>
      <c r="T1711">
        <v>1.0336898448079022</v>
      </c>
      <c r="U1711">
        <v>0</v>
      </c>
      <c r="V1711">
        <v>9.7848569683394143E-2</v>
      </c>
      <c r="W1711">
        <v>3.5685890499722268E-2</v>
      </c>
      <c r="X1711">
        <v>8.1251375956627285E-3</v>
      </c>
      <c r="Y1711">
        <v>1.4456991030964616E-3</v>
      </c>
    </row>
    <row r="1712" spans="1:25" x14ac:dyDescent="0.25">
      <c r="A1712" s="1096"/>
      <c r="B1712" s="1455">
        <v>1462</v>
      </c>
      <c r="C1712" s="1100">
        <v>0.97615768249079227</v>
      </c>
      <c r="D1712" s="1100">
        <v>0.9879104065434291</v>
      </c>
      <c r="E1712" s="1100">
        <v>1.0189523955589148</v>
      </c>
      <c r="F1712" s="1100">
        <v>0.97883038087937013</v>
      </c>
      <c r="G1712" s="1100">
        <v>0.99088794689629034</v>
      </c>
      <c r="H1712" s="1100">
        <v>1.0151240776267079</v>
      </c>
      <c r="I1712" s="1100">
        <v>0.98504542570315801</v>
      </c>
      <c r="K1712">
        <v>1.300933969377549</v>
      </c>
      <c r="L1712">
        <v>0</v>
      </c>
      <c r="M1712">
        <v>6.0381412644066224E-4</v>
      </c>
      <c r="N1712">
        <v>5.8795267946611773E-2</v>
      </c>
      <c r="O1712">
        <v>7.9951057995864862E-3</v>
      </c>
      <c r="P1712">
        <v>1.6182549024249846E-2</v>
      </c>
      <c r="Q1712">
        <v>4.7175340163179894E-4</v>
      </c>
      <c r="R1712">
        <v>6.0205892099064262E-4</v>
      </c>
      <c r="S1712">
        <v>6.2009337017366557E-2</v>
      </c>
      <c r="T1712">
        <v>1.0099767819808221</v>
      </c>
      <c r="U1712">
        <v>0</v>
      </c>
      <c r="V1712">
        <v>9.7905155308780578E-2</v>
      </c>
      <c r="W1712">
        <v>3.8195057431171596E-2</v>
      </c>
      <c r="X1712">
        <v>7.7661107585104226E-3</v>
      </c>
      <c r="Y1712">
        <v>1.6386059142665646E-3</v>
      </c>
    </row>
    <row r="1713" spans="1:25" x14ac:dyDescent="0.25">
      <c r="A1713" s="1096"/>
      <c r="B1713" s="1455">
        <v>1463</v>
      </c>
      <c r="C1713" s="1100">
        <v>0.97408890616048049</v>
      </c>
      <c r="D1713" s="1100">
        <v>1.0229252137862417</v>
      </c>
      <c r="E1713" s="1100">
        <v>0.98582664873959269</v>
      </c>
      <c r="F1713" s="1100">
        <v>1.0094327646312298</v>
      </c>
      <c r="G1713" s="1100">
        <v>1.0041080029004554</v>
      </c>
      <c r="H1713" s="1100">
        <v>1.0022471267837325</v>
      </c>
      <c r="I1713" s="1100">
        <v>1.0098778010456033</v>
      </c>
      <c r="K1713">
        <v>1.3293113852756799</v>
      </c>
      <c r="L1713">
        <v>0</v>
      </c>
      <c r="M1713">
        <v>6.3107684363705328E-4</v>
      </c>
      <c r="N1713">
        <v>5.5596632705257956E-2</v>
      </c>
      <c r="O1713">
        <v>7.8929611276600635E-3</v>
      </c>
      <c r="P1713">
        <v>1.6237831567122298E-2</v>
      </c>
      <c r="Q1713">
        <v>4.5049373427725835E-4</v>
      </c>
      <c r="R1713">
        <v>6.2921881996339944E-4</v>
      </c>
      <c r="S1713">
        <v>6.2093821899601886E-2</v>
      </c>
      <c r="T1713">
        <v>1.0425458591967884</v>
      </c>
      <c r="U1713">
        <v>0</v>
      </c>
      <c r="V1713">
        <v>9.8561322348712038E-2</v>
      </c>
      <c r="W1713">
        <v>3.6833918424788344E-2</v>
      </c>
      <c r="X1713">
        <v>7.3878760891329977E-3</v>
      </c>
      <c r="Y1713">
        <v>1.712526206012118E-3</v>
      </c>
    </row>
    <row r="1714" spans="1:25" x14ac:dyDescent="0.25">
      <c r="A1714" s="1096"/>
      <c r="B1714" s="1455">
        <v>1464</v>
      </c>
      <c r="C1714" s="1100">
        <v>1.0208808597706847</v>
      </c>
      <c r="D1714" s="1100">
        <v>0.97326314731779529</v>
      </c>
      <c r="E1714" s="1100">
        <v>0.99975392972621102</v>
      </c>
      <c r="F1714" s="1100">
        <v>0.97320552895038903</v>
      </c>
      <c r="G1714" s="1100">
        <v>0.99145668150017807</v>
      </c>
      <c r="H1714" s="1100">
        <v>0.96098280636043332</v>
      </c>
      <c r="I1714" s="1100">
        <v>1.0058497259525809</v>
      </c>
      <c r="K1714">
        <v>1.2808476191586036</v>
      </c>
      <c r="L1714">
        <v>0</v>
      </c>
      <c r="M1714">
        <v>5.7221549683793543E-4</v>
      </c>
      <c r="N1714">
        <v>5.2571990200637846E-2</v>
      </c>
      <c r="O1714">
        <v>7.6859942338034885E-3</v>
      </c>
      <c r="P1714">
        <v>1.5831523306869755E-2</v>
      </c>
      <c r="Q1714">
        <v>4.4489043492666617E-4</v>
      </c>
      <c r="R1714">
        <v>5.7045843188531812E-4</v>
      </c>
      <c r="S1714">
        <v>5.9366134046782891E-2</v>
      </c>
      <c r="T1714">
        <v>1.0047238822995928</v>
      </c>
      <c r="U1714">
        <v>0</v>
      </c>
      <c r="V1714">
        <v>9.6798821511366526E-2</v>
      </c>
      <c r="W1714">
        <v>3.4541275571246179E-2</v>
      </c>
      <c r="X1714">
        <v>7.3322648183087183E-3</v>
      </c>
      <c r="Y1714">
        <v>1.552599800020305E-3</v>
      </c>
    </row>
    <row r="1715" spans="1:25" x14ac:dyDescent="0.25">
      <c r="A1715" s="1096"/>
      <c r="B1715" s="1455">
        <v>1465</v>
      </c>
      <c r="C1715" s="1100">
        <v>1.0027947437953195</v>
      </c>
      <c r="D1715" s="1100">
        <v>1.0232539545078616</v>
      </c>
      <c r="E1715" s="1100">
        <v>0.95517149017084924</v>
      </c>
      <c r="F1715" s="1100">
        <v>1.0137574761972596</v>
      </c>
      <c r="G1715" s="1100">
        <v>0.98604698311761096</v>
      </c>
      <c r="H1715" s="1100">
        <v>1.0139832382762974</v>
      </c>
      <c r="I1715" s="1100">
        <v>0.98350102086673374</v>
      </c>
      <c r="K1715">
        <v>1.3254250186471328</v>
      </c>
      <c r="L1715">
        <v>0</v>
      </c>
      <c r="M1715">
        <v>6.6062632927360685E-4</v>
      </c>
      <c r="N1715">
        <v>5.3042875032601182E-2</v>
      </c>
      <c r="O1715">
        <v>7.658633524486127E-3</v>
      </c>
      <c r="P1715">
        <v>1.5870523651794623E-2</v>
      </c>
      <c r="Q1715">
        <v>4.2363939896113069E-4</v>
      </c>
      <c r="R1715">
        <v>6.5870381788595423E-4</v>
      </c>
      <c r="S1715">
        <v>5.9049939980988307E-2</v>
      </c>
      <c r="T1715">
        <v>1.047964885633772</v>
      </c>
      <c r="U1715">
        <v>0</v>
      </c>
      <c r="V1715">
        <v>9.6925907389579721E-2</v>
      </c>
      <c r="W1715">
        <v>3.5803582511884674E-2</v>
      </c>
      <c r="X1715">
        <v>6.8941793838224637E-3</v>
      </c>
      <c r="Y1715">
        <v>1.7927746506303591E-3</v>
      </c>
    </row>
    <row r="1716" spans="1:25" x14ac:dyDescent="0.25">
      <c r="A1716" s="1096"/>
      <c r="B1716" s="1455">
        <v>1466</v>
      </c>
      <c r="C1716" s="1100">
        <v>1.011249655205039</v>
      </c>
      <c r="D1716" s="1100">
        <v>1.0162968155391576</v>
      </c>
      <c r="E1716" s="1100">
        <v>1.014686677813615</v>
      </c>
      <c r="F1716" s="1100">
        <v>0.99568357843953237</v>
      </c>
      <c r="G1716" s="1100">
        <v>1.029718709739819</v>
      </c>
      <c r="H1716" s="1100">
        <v>1.0020201702712745</v>
      </c>
      <c r="I1716" s="1100">
        <v>1.0040778294913286</v>
      </c>
      <c r="K1716">
        <v>1.3108445350056106</v>
      </c>
      <c r="L1716">
        <v>0</v>
      </c>
      <c r="M1716">
        <v>5.7392313174084474E-4</v>
      </c>
      <c r="N1716">
        <v>5.5167861001904836E-2</v>
      </c>
      <c r="O1716">
        <v>7.6296724731237057E-3</v>
      </c>
      <c r="P1716">
        <v>1.6355167906152993E-2</v>
      </c>
      <c r="Q1716">
        <v>4.4828247616007707E-4</v>
      </c>
      <c r="R1716">
        <v>5.7223299795376519E-4</v>
      </c>
      <c r="S1716">
        <v>5.969689743237265E-2</v>
      </c>
      <c r="T1716">
        <v>1.0274905467983662</v>
      </c>
      <c r="U1716">
        <v>0</v>
      </c>
      <c r="V1716">
        <v>9.8897809057552077E-2</v>
      </c>
      <c r="W1716">
        <v>3.5928369678145125E-2</v>
      </c>
      <c r="X1716">
        <v>7.6741887317461786E-3</v>
      </c>
      <c r="Y1716">
        <v>1.55742958387307E-3</v>
      </c>
    </row>
    <row r="1717" spans="1:25" x14ac:dyDescent="0.25">
      <c r="A1717" s="1096"/>
      <c r="B1717" s="1455">
        <v>1467</v>
      </c>
      <c r="C1717" s="1100">
        <v>0.9978259318078575</v>
      </c>
      <c r="D1717" s="1100">
        <v>1.0095720652373046</v>
      </c>
      <c r="E1717" s="1100">
        <v>0.98831516906488392</v>
      </c>
      <c r="F1717" s="1100">
        <v>1.0039667846244975</v>
      </c>
      <c r="G1717" s="1100">
        <v>1.0017221694941738</v>
      </c>
      <c r="H1717" s="1100">
        <v>1.0038148765064978</v>
      </c>
      <c r="I1717" s="1100">
        <v>1.0088338776333425</v>
      </c>
      <c r="K1717">
        <v>1.3200992439757551</v>
      </c>
      <c r="L1717">
        <v>0</v>
      </c>
      <c r="M1717">
        <v>6.1709242354105419E-4</v>
      </c>
      <c r="N1717">
        <v>5.4775549792120772E-2</v>
      </c>
      <c r="O1717">
        <v>7.7464107399230469E-3</v>
      </c>
      <c r="P1717">
        <v>1.6166950989211299E-2</v>
      </c>
      <c r="Q1717">
        <v>4.4324462251122624E-4</v>
      </c>
      <c r="R1717">
        <v>6.1527841049940077E-4</v>
      </c>
      <c r="S1717">
        <v>6.1032435549449905E-2</v>
      </c>
      <c r="T1717">
        <v>1.0368252458141429</v>
      </c>
      <c r="U1717">
        <v>0</v>
      </c>
      <c r="V1717">
        <v>9.7843581700664248E-2</v>
      </c>
      <c r="W1717">
        <v>3.6235748836966085E-2</v>
      </c>
      <c r="X1717">
        <v>7.3573049368995157E-3</v>
      </c>
      <c r="Y1717">
        <v>1.6745850069058584E-3</v>
      </c>
    </row>
    <row r="1718" spans="1:25" x14ac:dyDescent="0.25">
      <c r="A1718" s="1096"/>
      <c r="B1718" s="1455">
        <v>1468</v>
      </c>
      <c r="C1718" s="1100">
        <v>0.97079726059848859</v>
      </c>
      <c r="D1718" s="1100">
        <v>1.0010511448558068</v>
      </c>
      <c r="E1718" s="1100">
        <v>1.0053443285675792</v>
      </c>
      <c r="F1718" s="1100">
        <v>1.0062941411158204</v>
      </c>
      <c r="G1718" s="1100">
        <v>1.0301662926849378</v>
      </c>
      <c r="H1718" s="1100">
        <v>1.0024046218050418</v>
      </c>
      <c r="I1718" s="1100">
        <v>1.0407379568335779</v>
      </c>
      <c r="K1718">
        <v>1.3328178612576711</v>
      </c>
      <c r="L1718">
        <v>0</v>
      </c>
      <c r="M1718">
        <v>6.1348652604315489E-4</v>
      </c>
      <c r="N1718">
        <v>5.7330915569173281E-2</v>
      </c>
      <c r="O1718">
        <v>7.9934264953205065E-3</v>
      </c>
      <c r="P1718">
        <v>1.6482862020449109E-2</v>
      </c>
      <c r="Q1718">
        <v>4.65289246800685E-4</v>
      </c>
      <c r="R1718">
        <v>6.1168057577456634E-4</v>
      </c>
      <c r="S1718">
        <v>6.4981890134161419E-2</v>
      </c>
      <c r="T1718">
        <v>1.0387170873339742</v>
      </c>
      <c r="U1718">
        <v>0</v>
      </c>
      <c r="V1718">
        <v>9.9930231908545428E-2</v>
      </c>
      <c r="W1718">
        <v>3.7543324839984231E-2</v>
      </c>
      <c r="X1718">
        <v>7.70984677271989E-3</v>
      </c>
      <c r="Y1718">
        <v>1.6647928868107576E-3</v>
      </c>
    </row>
    <row r="1719" spans="1:25" x14ac:dyDescent="0.25">
      <c r="A1719" s="1096"/>
      <c r="B1719" s="1455">
        <v>1469</v>
      </c>
      <c r="C1719" s="1100">
        <v>0.98429988644640187</v>
      </c>
      <c r="D1719" s="1100">
        <v>1.0120761416271027</v>
      </c>
      <c r="E1719" s="1100">
        <v>0.98772364742077257</v>
      </c>
      <c r="F1719" s="1100">
        <v>1.0108028994829512</v>
      </c>
      <c r="G1719" s="1100">
        <v>1.0118579019772833</v>
      </c>
      <c r="H1719" s="1100">
        <v>0.96272101755273598</v>
      </c>
      <c r="I1719" s="1100">
        <v>0.99452460691884381</v>
      </c>
      <c r="K1719">
        <v>1.3241355152568066</v>
      </c>
      <c r="L1719">
        <v>0</v>
      </c>
      <c r="M1719">
        <v>6.0010317723481834E-4</v>
      </c>
      <c r="N1719">
        <v>5.3165632054860246E-2</v>
      </c>
      <c r="O1719">
        <v>7.8449361921780515E-3</v>
      </c>
      <c r="P1719">
        <v>1.6247938284752017E-2</v>
      </c>
      <c r="Q1719">
        <v>4.4861358843293838E-4</v>
      </c>
      <c r="R1719">
        <v>5.9826380641986874E-4</v>
      </c>
      <c r="S1719">
        <v>5.9650552498697121E-2</v>
      </c>
      <c r="T1719">
        <v>1.0439031080946386</v>
      </c>
      <c r="U1719">
        <v>0</v>
      </c>
      <c r="V1719">
        <v>9.8674455361794117E-2</v>
      </c>
      <c r="W1719">
        <v>3.5183222397489756E-2</v>
      </c>
      <c r="X1719">
        <v>7.3906192913130997E-3</v>
      </c>
      <c r="Y1719">
        <v>1.6282768634640996E-3</v>
      </c>
    </row>
    <row r="1720" spans="1:25" x14ac:dyDescent="0.25">
      <c r="A1720" s="1096"/>
      <c r="B1720" s="1455">
        <v>1470</v>
      </c>
      <c r="C1720" s="1100">
        <v>1.0162921239379483</v>
      </c>
      <c r="D1720" s="1100">
        <v>1.0295164007192847</v>
      </c>
      <c r="E1720" s="1100">
        <v>0.96733084129311664</v>
      </c>
      <c r="F1720" s="1100">
        <v>1.0093286941696717</v>
      </c>
      <c r="G1720" s="1100">
        <v>0.96285438840244708</v>
      </c>
      <c r="H1720" s="1100">
        <v>1.0112107910982464</v>
      </c>
      <c r="I1720" s="1100">
        <v>0.96783087459188955</v>
      </c>
      <c r="K1720">
        <v>1.3161562124581194</v>
      </c>
      <c r="L1720">
        <v>0</v>
      </c>
      <c r="M1720">
        <v>6.3243225319599904E-4</v>
      </c>
      <c r="N1720">
        <v>5.2684334789412764E-2</v>
      </c>
      <c r="O1720">
        <v>7.541382796432866E-3</v>
      </c>
      <c r="P1720">
        <v>1.5909080609625918E-2</v>
      </c>
      <c r="Q1720">
        <v>4.2239601675050247E-4</v>
      </c>
      <c r="R1720">
        <v>6.3058674434204995E-4</v>
      </c>
      <c r="S1720">
        <v>5.7082113522571684E-2</v>
      </c>
      <c r="T1720">
        <v>1.0430071143365658</v>
      </c>
      <c r="U1720">
        <v>0</v>
      </c>
      <c r="V1720">
        <v>9.5489393953691354E-2</v>
      </c>
      <c r="W1720">
        <v>3.5297541037570442E-2</v>
      </c>
      <c r="X1720">
        <v>7.0084516591152829E-3</v>
      </c>
      <c r="Y1720">
        <v>1.7162492452346548E-3</v>
      </c>
    </row>
    <row r="1721" spans="1:25" x14ac:dyDescent="0.25">
      <c r="A1721" s="1096"/>
      <c r="B1721" s="1455">
        <v>1471</v>
      </c>
      <c r="C1721" s="1100">
        <v>1.0041355248517176</v>
      </c>
      <c r="D1721" s="1100">
        <v>1.0276289014262381</v>
      </c>
      <c r="E1721" s="1100">
        <v>1.0102882660397889</v>
      </c>
      <c r="F1721" s="1100">
        <v>1.0049447540708463</v>
      </c>
      <c r="G1721" s="1100">
        <v>1.0078896723270963</v>
      </c>
      <c r="H1721" s="1100">
        <v>0.99431958695898592</v>
      </c>
      <c r="I1721" s="1100">
        <v>0.99483775180721012</v>
      </c>
      <c r="K1721">
        <v>1.3182368317949158</v>
      </c>
      <c r="L1721">
        <v>0</v>
      </c>
      <c r="M1721">
        <v>5.762527171234822E-4</v>
      </c>
      <c r="N1721">
        <v>5.465999820084854E-2</v>
      </c>
      <c r="O1721">
        <v>7.6486563330408911E-3</v>
      </c>
      <c r="P1721">
        <v>1.6413241848305605E-2</v>
      </c>
      <c r="Q1721">
        <v>4.4742898764575417E-4</v>
      </c>
      <c r="R1721">
        <v>5.7454258049139436E-4</v>
      </c>
      <c r="S1721">
        <v>5.8979199652924384E-2</v>
      </c>
      <c r="T1721">
        <v>1.0371774942236633</v>
      </c>
      <c r="U1721">
        <v>0</v>
      </c>
      <c r="V1721">
        <v>9.8010418872500948E-2</v>
      </c>
      <c r="W1721">
        <v>3.5689887320695467E-2</v>
      </c>
      <c r="X1721">
        <v>7.6485009857357742E-3</v>
      </c>
      <c r="Y1721">
        <v>1.5637155061868184E-3</v>
      </c>
    </row>
    <row r="1722" spans="1:25" x14ac:dyDescent="0.25">
      <c r="A1722" s="1096"/>
      <c r="B1722" s="1455">
        <v>1472</v>
      </c>
      <c r="C1722" s="1100">
        <v>1.0035386086342397</v>
      </c>
      <c r="D1722" s="1100">
        <v>0.99872702448094408</v>
      </c>
      <c r="E1722" s="1100">
        <v>1.0264877869928892</v>
      </c>
      <c r="F1722" s="1100">
        <v>1.0115957331815997</v>
      </c>
      <c r="G1722" s="1100">
        <v>1.028151651116749</v>
      </c>
      <c r="H1722" s="1100">
        <v>0.98816201076370302</v>
      </c>
      <c r="I1722" s="1100">
        <v>1.026572153588428</v>
      </c>
      <c r="K1722">
        <v>1.330600691820778</v>
      </c>
      <c r="L1722">
        <v>0</v>
      </c>
      <c r="M1722">
        <v>5.6039541097634084E-4</v>
      </c>
      <c r="N1722">
        <v>5.5817428093503346E-2</v>
      </c>
      <c r="O1722">
        <v>7.7450136866740373E-3</v>
      </c>
      <c r="P1722">
        <v>1.6749758409218551E-2</v>
      </c>
      <c r="Q1722">
        <v>4.6042783119933599E-4</v>
      </c>
      <c r="R1722">
        <v>5.5872197063254524E-4</v>
      </c>
      <c r="S1722">
        <v>6.16594092769083E-2</v>
      </c>
      <c r="T1722">
        <v>1.0435629785368226</v>
      </c>
      <c r="U1722">
        <v>0</v>
      </c>
      <c r="V1722">
        <v>9.9023715262771844E-2</v>
      </c>
      <c r="W1722">
        <v>3.6101402043106828E-2</v>
      </c>
      <c r="X1722">
        <v>7.9615750995018792E-3</v>
      </c>
      <c r="Y1722">
        <v>1.5206570214136696E-3</v>
      </c>
    </row>
    <row r="1723" spans="1:25" x14ac:dyDescent="0.25">
      <c r="A1723" s="1096"/>
      <c r="B1723" s="1455">
        <v>1473</v>
      </c>
      <c r="C1723" s="1100">
        <v>1.004438393598847</v>
      </c>
      <c r="D1723" s="1100">
        <v>0.98923218908799426</v>
      </c>
      <c r="E1723" s="1100">
        <v>0.98730652979333045</v>
      </c>
      <c r="F1723" s="1100">
        <v>1.0269657767177305</v>
      </c>
      <c r="G1723" s="1100">
        <v>1.0266150678543882</v>
      </c>
      <c r="H1723" s="1100">
        <v>1.00573807566316</v>
      </c>
      <c r="I1723" s="1100">
        <v>0.9919668804131071</v>
      </c>
      <c r="K1723">
        <v>1.344902619368642</v>
      </c>
      <c r="L1723">
        <v>0</v>
      </c>
      <c r="M1723">
        <v>6.2051960145272545E-4</v>
      </c>
      <c r="N1723">
        <v>5.4912329232597604E-2</v>
      </c>
      <c r="O1723">
        <v>7.7580719822753627E-3</v>
      </c>
      <c r="P1723">
        <v>1.6480484821234952E-2</v>
      </c>
      <c r="Q1723">
        <v>4.4345898496401642E-4</v>
      </c>
      <c r="R1723">
        <v>6.1869900190256828E-4</v>
      </c>
      <c r="S1723">
        <v>6.0328245874420788E-2</v>
      </c>
      <c r="T1723">
        <v>1.0606081722025709</v>
      </c>
      <c r="U1723">
        <v>0</v>
      </c>
      <c r="V1723">
        <v>9.8883126599345852E-2</v>
      </c>
      <c r="W1723">
        <v>3.6348227075692172E-2</v>
      </c>
      <c r="X1723">
        <v>7.4584284659822879E-3</v>
      </c>
      <c r="Y1723">
        <v>1.6838947291076274E-3</v>
      </c>
    </row>
    <row r="1724" spans="1:25" x14ac:dyDescent="0.25">
      <c r="A1724" s="1096"/>
      <c r="B1724" s="1455">
        <v>1474</v>
      </c>
      <c r="C1724" s="1100">
        <v>0.99932039505254033</v>
      </c>
      <c r="D1724" s="1100">
        <v>0.99507937612529929</v>
      </c>
      <c r="E1724" s="1100">
        <v>1.0054299071677457</v>
      </c>
      <c r="F1724" s="1100">
        <v>0.98174718285055185</v>
      </c>
      <c r="G1724" s="1100">
        <v>0.9917586202146057</v>
      </c>
      <c r="H1724" s="1100">
        <v>0.98265482788597458</v>
      </c>
      <c r="I1724" s="1100">
        <v>1.0321031765445245</v>
      </c>
      <c r="K1724">
        <v>1.2968593196694194</v>
      </c>
      <c r="L1724">
        <v>0</v>
      </c>
      <c r="M1724">
        <v>5.8552980921334065E-4</v>
      </c>
      <c r="N1724">
        <v>5.4729228996413588E-2</v>
      </c>
      <c r="O1724">
        <v>7.7839021820522271E-3</v>
      </c>
      <c r="P1724">
        <v>1.6063069544398612E-2</v>
      </c>
      <c r="Q1724">
        <v>4.5313191069928991E-4</v>
      </c>
      <c r="R1724">
        <v>5.8377151382940022E-4</v>
      </c>
      <c r="S1724">
        <v>6.2180528652951719E-2</v>
      </c>
      <c r="T1724">
        <v>1.0133767351547605</v>
      </c>
      <c r="U1724">
        <v>0</v>
      </c>
      <c r="V1724">
        <v>9.7343510642071737E-2</v>
      </c>
      <c r="W1724">
        <v>3.5837787316559316E-2</v>
      </c>
      <c r="X1724">
        <v>7.5043499444796572E-3</v>
      </c>
      <c r="Y1724">
        <v>1.5888336204158127E-3</v>
      </c>
    </row>
    <row r="1725" spans="1:25" x14ac:dyDescent="0.25">
      <c r="A1725" s="1096"/>
      <c r="B1725" s="1455">
        <v>1475</v>
      </c>
      <c r="C1725" s="1100">
        <v>0.98674943123649284</v>
      </c>
      <c r="D1725" s="1100">
        <v>0.96375887200955923</v>
      </c>
      <c r="E1725" s="1100">
        <v>0.96421481486819605</v>
      </c>
      <c r="F1725" s="1100">
        <v>0.99864994080084712</v>
      </c>
      <c r="G1725" s="1100">
        <v>1.0206596494189388</v>
      </c>
      <c r="H1725" s="1100">
        <v>1.0051963320441639</v>
      </c>
      <c r="I1725" s="1100">
        <v>1.036515544260139</v>
      </c>
      <c r="K1725">
        <v>1.3215488874874661</v>
      </c>
      <c r="L1725">
        <v>0</v>
      </c>
      <c r="M1725">
        <v>6.6910257432596849E-4</v>
      </c>
      <c r="N1725">
        <v>5.5214577378098831E-2</v>
      </c>
      <c r="O1725">
        <v>7.9741795289980481E-3</v>
      </c>
      <c r="P1725">
        <v>1.5878114809201576E-2</v>
      </c>
      <c r="Q1725">
        <v>4.4521359826413763E-4</v>
      </c>
      <c r="R1725">
        <v>6.671383747001733E-4</v>
      </c>
      <c r="S1725">
        <v>6.5030488266207692E-2</v>
      </c>
      <c r="T1725">
        <v>1.0320678540031665</v>
      </c>
      <c r="U1725">
        <v>0</v>
      </c>
      <c r="V1725">
        <v>9.9011479479397632E-2</v>
      </c>
      <c r="W1725">
        <v>3.7063217777332458E-2</v>
      </c>
      <c r="X1725">
        <v>7.0499961125955295E-3</v>
      </c>
      <c r="Y1725">
        <v>1.8157307338277572E-3</v>
      </c>
    </row>
    <row r="1726" spans="1:25" x14ac:dyDescent="0.25">
      <c r="A1726" s="1096"/>
      <c r="B1726" s="1455">
        <v>1476</v>
      </c>
      <c r="C1726" s="1100">
        <v>0.97263338899910956</v>
      </c>
      <c r="D1726" s="1100">
        <v>1.0067128098267957</v>
      </c>
      <c r="E1726" s="1100">
        <v>0.96796788888370855</v>
      </c>
      <c r="F1726" s="1100">
        <v>0.9868852804819952</v>
      </c>
      <c r="G1726" s="1100">
        <v>0.96088789598174629</v>
      </c>
      <c r="H1726" s="1100">
        <v>0.97938691457567628</v>
      </c>
      <c r="I1726" s="1100">
        <v>1.029795820159932</v>
      </c>
      <c r="K1726">
        <v>1.302229828952792</v>
      </c>
      <c r="L1726">
        <v>0</v>
      </c>
      <c r="M1726">
        <v>6.4493525530472736E-4</v>
      </c>
      <c r="N1726">
        <v>5.3824520021989571E-2</v>
      </c>
      <c r="O1726">
        <v>7.9509707162088404E-3</v>
      </c>
      <c r="P1726">
        <v>1.5702725295591791E-2</v>
      </c>
      <c r="Q1726">
        <v>4.4562764757164142E-4</v>
      </c>
      <c r="R1726">
        <v>6.4299210838088326E-4</v>
      </c>
      <c r="S1726">
        <v>6.3203302381127729E-2</v>
      </c>
      <c r="T1726">
        <v>1.0197955060286856</v>
      </c>
      <c r="U1726">
        <v>0</v>
      </c>
      <c r="V1726">
        <v>9.6489006954637649E-2</v>
      </c>
      <c r="W1726">
        <v>3.6047438839859634E-2</v>
      </c>
      <c r="X1726">
        <v>7.022661657322021E-3</v>
      </c>
      <c r="Y1726">
        <v>1.7500125567212026E-3</v>
      </c>
    </row>
    <row r="1727" spans="1:25" x14ac:dyDescent="0.25">
      <c r="A1727" s="1096"/>
      <c r="B1727" s="1455">
        <v>1477</v>
      </c>
      <c r="C1727" s="1100">
        <v>1.0048834090681535</v>
      </c>
      <c r="D1727" s="1100">
        <v>1.009665340979341</v>
      </c>
      <c r="E1727" s="1100">
        <v>0.99599812651563724</v>
      </c>
      <c r="F1727" s="1100">
        <v>0.99725678704337772</v>
      </c>
      <c r="G1727" s="1100">
        <v>0.99026399697261447</v>
      </c>
      <c r="H1727" s="1100">
        <v>1.018520312585429</v>
      </c>
      <c r="I1727" s="1100">
        <v>1.0381006145689846</v>
      </c>
      <c r="K1727">
        <v>1.3152273690262342</v>
      </c>
      <c r="L1727">
        <v>0</v>
      </c>
      <c r="M1727">
        <v>6.1189449396726301E-4</v>
      </c>
      <c r="N1727">
        <v>5.5592750354501591E-2</v>
      </c>
      <c r="O1727">
        <v>7.6935893302215218E-3</v>
      </c>
      <c r="P1727">
        <v>1.617783201156309E-2</v>
      </c>
      <c r="Q1727">
        <v>4.436500276897219E-4</v>
      </c>
      <c r="R1727">
        <v>6.1012173100742509E-4</v>
      </c>
      <c r="S1727">
        <v>6.2828633810214821E-2</v>
      </c>
      <c r="T1727">
        <v>1.0296657896757371</v>
      </c>
      <c r="U1727">
        <v>0</v>
      </c>
      <c r="V1727">
        <v>9.7123419922584386E-2</v>
      </c>
      <c r="W1727">
        <v>3.6607763131888835E-2</v>
      </c>
      <c r="X1727">
        <v>7.4351632995645059E-3</v>
      </c>
      <c r="Y1727">
        <v>1.6605502252276386E-3</v>
      </c>
    </row>
    <row r="1728" spans="1:25" x14ac:dyDescent="0.25">
      <c r="A1728" s="1096"/>
      <c r="B1728" s="1455">
        <v>1478</v>
      </c>
      <c r="C1728" s="1100">
        <v>1.0028663309163308</v>
      </c>
      <c r="D1728" s="1100">
        <v>1.0051125763236282</v>
      </c>
      <c r="E1728" s="1100">
        <v>0.97592189596649648</v>
      </c>
      <c r="F1728" s="1100">
        <v>1.0097644621795792</v>
      </c>
      <c r="G1728" s="1100">
        <v>1.0273258786529911</v>
      </c>
      <c r="H1728" s="1100">
        <v>0.99446484892601827</v>
      </c>
      <c r="I1728" s="1100">
        <v>0.96912670940893586</v>
      </c>
      <c r="K1728">
        <v>1.3225107418350632</v>
      </c>
      <c r="L1728">
        <v>0</v>
      </c>
      <c r="M1728">
        <v>6.2517277231621696E-4</v>
      </c>
      <c r="N1728">
        <v>5.3449295138473345E-2</v>
      </c>
      <c r="O1728">
        <v>7.7181191213917246E-3</v>
      </c>
      <c r="P1728">
        <v>1.6077623852033471E-2</v>
      </c>
      <c r="Q1728">
        <v>4.3610420053747973E-4</v>
      </c>
      <c r="R1728">
        <v>6.2331772736963498E-4</v>
      </c>
      <c r="S1728">
        <v>5.8187222946763983E-2</v>
      </c>
      <c r="T1728">
        <v>1.0431918481257008</v>
      </c>
      <c r="U1728">
        <v>0</v>
      </c>
      <c r="V1728">
        <v>9.8943486692564975E-2</v>
      </c>
      <c r="W1728">
        <v>3.5623535466902043E-2</v>
      </c>
      <c r="X1728">
        <v>7.1888959583731385E-3</v>
      </c>
      <c r="Y1728">
        <v>1.6964653772665419E-3</v>
      </c>
    </row>
    <row r="1729" spans="1:25" x14ac:dyDescent="0.25">
      <c r="A1729" s="1096"/>
      <c r="B1729" s="1455">
        <v>1479</v>
      </c>
      <c r="C1729" s="1100">
        <v>1.0219532685157056</v>
      </c>
      <c r="D1729" s="1100">
        <v>1.0417797811208667</v>
      </c>
      <c r="E1729" s="1100">
        <v>0.98444275872836051</v>
      </c>
      <c r="F1729" s="1100">
        <v>1.0295535865964807</v>
      </c>
      <c r="G1729" s="1100">
        <v>1.0099969985345463</v>
      </c>
      <c r="H1729" s="1100">
        <v>0.99835951273954016</v>
      </c>
      <c r="I1729" s="1100">
        <v>0.99421638760905418</v>
      </c>
      <c r="K1729">
        <v>1.3389265377233188</v>
      </c>
      <c r="L1729">
        <v>0</v>
      </c>
      <c r="M1729">
        <v>5.9653086104271441E-4</v>
      </c>
      <c r="N1729">
        <v>5.2333090640286718E-2</v>
      </c>
      <c r="O1729">
        <v>7.4681965037669343E-3</v>
      </c>
      <c r="P1729">
        <v>1.6428511615249521E-2</v>
      </c>
      <c r="Q1729">
        <v>4.2565270539362778E-4</v>
      </c>
      <c r="R1729">
        <v>5.9476770896032519E-4</v>
      </c>
      <c r="S1729">
        <v>5.7585996837880932E-2</v>
      </c>
      <c r="T1729">
        <v>1.0633697593180853</v>
      </c>
      <c r="U1729">
        <v>0</v>
      </c>
      <c r="V1729">
        <v>9.7653320339112087E-2</v>
      </c>
      <c r="W1729">
        <v>3.4700621327615672E-2</v>
      </c>
      <c r="X1729">
        <v>7.3443899493412139E-3</v>
      </c>
      <c r="Y1729">
        <v>1.6187616386674401E-3</v>
      </c>
    </row>
    <row r="1730" spans="1:25" x14ac:dyDescent="0.25">
      <c r="A1730" s="1096"/>
      <c r="B1730" s="1455">
        <v>1480</v>
      </c>
      <c r="C1730" s="1100">
        <v>0.99287536178348856</v>
      </c>
      <c r="D1730" s="1100">
        <v>0.98773587855420764</v>
      </c>
      <c r="E1730" s="1100">
        <v>1.0010068532681256</v>
      </c>
      <c r="F1730" s="1100">
        <v>1.0328732534349252</v>
      </c>
      <c r="G1730" s="1100">
        <v>0.99964440867082394</v>
      </c>
      <c r="H1730" s="1100">
        <v>0.99740620724133389</v>
      </c>
      <c r="I1730" s="1100">
        <v>1.0257627442255466</v>
      </c>
      <c r="K1730">
        <v>1.3540104802936304</v>
      </c>
      <c r="L1730">
        <v>0</v>
      </c>
      <c r="M1730">
        <v>6.0548501152143963E-4</v>
      </c>
      <c r="N1730">
        <v>5.5845856718350857E-2</v>
      </c>
      <c r="O1730">
        <v>7.8565769997054769E-3</v>
      </c>
      <c r="P1730">
        <v>1.6749782027640856E-2</v>
      </c>
      <c r="Q1730">
        <v>4.553372983029347E-4</v>
      </c>
      <c r="R1730">
        <v>6.0369368338038037E-4</v>
      </c>
      <c r="S1730">
        <v>6.2911172139879928E-2</v>
      </c>
      <c r="T1730">
        <v>1.0662855083416953</v>
      </c>
      <c r="U1730">
        <v>0</v>
      </c>
      <c r="V1730">
        <v>9.7881056228993013E-2</v>
      </c>
      <c r="W1730">
        <v>3.6664992661122733E-2</v>
      </c>
      <c r="X1730">
        <v>7.7189340074880009E-3</v>
      </c>
      <c r="Y1730">
        <v>1.643055198592153E-3</v>
      </c>
    </row>
    <row r="1731" spans="1:25" x14ac:dyDescent="0.25">
      <c r="A1731" s="1096"/>
      <c r="B1731" s="1455">
        <v>1481</v>
      </c>
      <c r="C1731" s="1100">
        <v>1.0061326254054419</v>
      </c>
      <c r="D1731" s="1100">
        <v>0.97101224484950521</v>
      </c>
      <c r="E1731" s="1100">
        <v>1.0291879082500277</v>
      </c>
      <c r="F1731" s="1100">
        <v>0.98718968825494191</v>
      </c>
      <c r="G1731" s="1100">
        <v>0.99946743626232393</v>
      </c>
      <c r="H1731" s="1100">
        <v>0.97614500214962341</v>
      </c>
      <c r="I1731" s="1100">
        <v>0.98879878776445307</v>
      </c>
      <c r="K1731">
        <v>1.3014684697290191</v>
      </c>
      <c r="L1731">
        <v>0</v>
      </c>
      <c r="M1731">
        <v>5.5527189164775159E-4</v>
      </c>
      <c r="N1731">
        <v>5.5757143951727609E-2</v>
      </c>
      <c r="O1731">
        <v>7.8131666920355242E-3</v>
      </c>
      <c r="P1731">
        <v>1.6384353691558915E-2</v>
      </c>
      <c r="Q1731">
        <v>4.6572251648641598E-4</v>
      </c>
      <c r="R1731">
        <v>5.5359333820557705E-4</v>
      </c>
      <c r="S1731">
        <v>5.9778112319632086E-2</v>
      </c>
      <c r="T1731">
        <v>1.0183085445820881</v>
      </c>
      <c r="U1731">
        <v>0</v>
      </c>
      <c r="V1731">
        <v>9.757515797055745E-2</v>
      </c>
      <c r="W1731">
        <v>3.600583750032154E-2</v>
      </c>
      <c r="X1731">
        <v>7.8754104834507458E-3</v>
      </c>
      <c r="Y1731">
        <v>1.5066985746006866E-3</v>
      </c>
    </row>
    <row r="1732" spans="1:25" x14ac:dyDescent="0.25">
      <c r="A1732" s="1096"/>
      <c r="B1732" s="1455">
        <v>1482</v>
      </c>
      <c r="C1732" s="1100">
        <v>0.9979539586059788</v>
      </c>
      <c r="D1732" s="1100">
        <v>0.99339688077449373</v>
      </c>
      <c r="E1732" s="1100">
        <v>0.98621114521998487</v>
      </c>
      <c r="F1732" s="1100">
        <v>1.0403685491592851</v>
      </c>
      <c r="G1732" s="1100">
        <v>0.95932284952136748</v>
      </c>
      <c r="H1732" s="1100">
        <v>0.97066047675894351</v>
      </c>
      <c r="I1732" s="1100">
        <v>1.0292289446776688</v>
      </c>
      <c r="K1732">
        <v>1.3544500954084571</v>
      </c>
      <c r="L1732">
        <v>0</v>
      </c>
      <c r="M1732">
        <v>6.0312270863011421E-4</v>
      </c>
      <c r="N1732">
        <v>5.3190638784539335E-2</v>
      </c>
      <c r="O1732">
        <v>7.7951013125730825E-3</v>
      </c>
      <c r="P1732">
        <v>1.663156988395632E-2</v>
      </c>
      <c r="Q1732">
        <v>4.4508167210089258E-4</v>
      </c>
      <c r="R1732">
        <v>6.0128920340203759E-4</v>
      </c>
      <c r="S1732">
        <v>6.1750903009122851E-2</v>
      </c>
      <c r="T1732">
        <v>1.0744843772852428</v>
      </c>
      <c r="U1732">
        <v>0</v>
      </c>
      <c r="V1732">
        <v>9.5787096781927192E-2</v>
      </c>
      <c r="W1732">
        <v>3.5231755999438501E-2</v>
      </c>
      <c r="X1732">
        <v>7.4988931880543537E-3</v>
      </c>
      <c r="Y1732">
        <v>1.6365109967277165E-3</v>
      </c>
    </row>
    <row r="1733" spans="1:25" x14ac:dyDescent="0.25">
      <c r="A1733" s="1096"/>
      <c r="B1733" s="1455">
        <v>1483</v>
      </c>
      <c r="C1733" s="1100">
        <v>0.96826373634481699</v>
      </c>
      <c r="D1733" s="1100">
        <v>0.9938196125935681</v>
      </c>
      <c r="E1733" s="1100">
        <v>0.98594295843397062</v>
      </c>
      <c r="F1733" s="1100">
        <v>1.0002236340556367</v>
      </c>
      <c r="G1733" s="1100">
        <v>0.99065361380032357</v>
      </c>
      <c r="H1733" s="1100">
        <v>1.0056274908585905</v>
      </c>
      <c r="I1733" s="1100">
        <v>0.9880570181262851</v>
      </c>
      <c r="K1733">
        <v>1.3213815911128186</v>
      </c>
      <c r="L1733">
        <v>0</v>
      </c>
      <c r="M1733">
        <v>6.4425748573631811E-4</v>
      </c>
      <c r="N1733">
        <v>5.6778353730859259E-2</v>
      </c>
      <c r="O1733">
        <v>8.0326901889659422E-3</v>
      </c>
      <c r="P1733">
        <v>1.6105243643125839E-2</v>
      </c>
      <c r="Q1733">
        <v>4.5852284808358421E-4</v>
      </c>
      <c r="R1733">
        <v>6.4236703156066264E-4</v>
      </c>
      <c r="S1733">
        <v>6.2176193060623205E-2</v>
      </c>
      <c r="T1733">
        <v>1.0330311236099772</v>
      </c>
      <c r="U1733">
        <v>0</v>
      </c>
      <c r="V1733">
        <v>9.8063659275460249E-2</v>
      </c>
      <c r="W1733">
        <v>3.7614203561683476E-2</v>
      </c>
      <c r="X1733">
        <v>7.3751803445428225E-3</v>
      </c>
      <c r="Y1733">
        <v>1.7483113036730806E-3</v>
      </c>
    </row>
    <row r="1734" spans="1:25" x14ac:dyDescent="0.25">
      <c r="A1734" s="1096"/>
      <c r="B1734" s="1455">
        <v>1484</v>
      </c>
      <c r="C1734" s="1100">
        <v>1.0235478795629247</v>
      </c>
      <c r="D1734" s="1100">
        <v>0.96146664972032148</v>
      </c>
      <c r="E1734" s="1100">
        <v>0.97265321851044018</v>
      </c>
      <c r="F1734" s="1100">
        <v>1.0218583123011391</v>
      </c>
      <c r="G1734" s="1100">
        <v>0.99446624474606471</v>
      </c>
      <c r="H1734" s="1100">
        <v>0.9811253579177216</v>
      </c>
      <c r="I1734" s="1100">
        <v>0.98632549037243566</v>
      </c>
      <c r="K1734">
        <v>1.3322835379306741</v>
      </c>
      <c r="L1734">
        <v>0</v>
      </c>
      <c r="M1734">
        <v>6.1931967277539248E-4</v>
      </c>
      <c r="N1734">
        <v>5.2425465074223396E-2</v>
      </c>
      <c r="O1734">
        <v>7.6968640270991826E-3</v>
      </c>
      <c r="P1734">
        <v>1.6189022426990326E-2</v>
      </c>
      <c r="Q1734">
        <v>4.3345614398728204E-4</v>
      </c>
      <c r="R1734">
        <v>6.1745701017996318E-4</v>
      </c>
      <c r="S1734">
        <v>5.9022082319071772E-2</v>
      </c>
      <c r="T1734">
        <v>1.0557880424074901</v>
      </c>
      <c r="U1734">
        <v>0</v>
      </c>
      <c r="V1734">
        <v>9.6851385064481516E-2</v>
      </c>
      <c r="W1734">
        <v>3.5010506161224218E-2</v>
      </c>
      <c r="X1734">
        <v>7.188062531638886E-3</v>
      </c>
      <c r="Y1734">
        <v>1.6805144370611572E-3</v>
      </c>
    </row>
    <row r="1735" spans="1:25" x14ac:dyDescent="0.25">
      <c r="A1735" s="1096"/>
      <c r="B1735" s="1455">
        <v>1485</v>
      </c>
      <c r="C1735" s="1100">
        <v>1.0291141369262846</v>
      </c>
      <c r="D1735" s="1100">
        <v>1.0136509456073335</v>
      </c>
      <c r="E1735" s="1100">
        <v>1.0348529209923987</v>
      </c>
      <c r="F1735" s="1100">
        <v>0.98824538989516741</v>
      </c>
      <c r="G1735" s="1100">
        <v>0.98122479481305902</v>
      </c>
      <c r="H1735" s="1100">
        <v>1.0099375101239318</v>
      </c>
      <c r="I1735" s="1100">
        <v>1.0016094794402512</v>
      </c>
      <c r="K1735">
        <v>1.2996077483772259</v>
      </c>
      <c r="L1735">
        <v>0</v>
      </c>
      <c r="M1735">
        <v>5.4561189452144747E-4</v>
      </c>
      <c r="N1735">
        <v>5.5736324400386138E-2</v>
      </c>
      <c r="O1735">
        <v>7.5098522259849252E-3</v>
      </c>
      <c r="P1735">
        <v>1.6431834395108078E-2</v>
      </c>
      <c r="Q1735">
        <v>4.5015420574293942E-4</v>
      </c>
      <c r="R1735">
        <v>5.4401772997922447E-4</v>
      </c>
      <c r="S1735">
        <v>5.8851470006684177E-2</v>
      </c>
      <c r="T1735">
        <v>1.0192362022573489</v>
      </c>
      <c r="U1735">
        <v>0</v>
      </c>
      <c r="V1735">
        <v>9.6148443446349457E-2</v>
      </c>
      <c r="W1735">
        <v>3.5874416672776362E-2</v>
      </c>
      <c r="X1735">
        <v>7.8900080057786124E-3</v>
      </c>
      <c r="Y1735">
        <v>1.4806369256069589E-3</v>
      </c>
    </row>
    <row r="1736" spans="1:25" x14ac:dyDescent="0.25">
      <c r="A1736" s="1096"/>
      <c r="B1736" s="1455">
        <v>1486</v>
      </c>
      <c r="C1736" s="1100">
        <v>1.0244340708191997</v>
      </c>
      <c r="D1736" s="1100">
        <v>0.99453226973950581</v>
      </c>
      <c r="E1736" s="1100">
        <v>1.0062083183049866</v>
      </c>
      <c r="F1736" s="1100">
        <v>1.0273330681240502</v>
      </c>
      <c r="G1736" s="1100">
        <v>0.97080625808216869</v>
      </c>
      <c r="H1736" s="1100">
        <v>1.0468818845446728</v>
      </c>
      <c r="I1736" s="1100">
        <v>0.96357245829102822</v>
      </c>
      <c r="K1736">
        <v>1.3428601343626265</v>
      </c>
      <c r="L1736">
        <v>0</v>
      </c>
      <c r="M1736">
        <v>6.0765924197792021E-4</v>
      </c>
      <c r="N1736">
        <v>5.6941851788757783E-2</v>
      </c>
      <c r="O1736">
        <v>7.594939944395745E-3</v>
      </c>
      <c r="P1736">
        <v>1.6644024188236985E-2</v>
      </c>
      <c r="Q1736">
        <v>4.4247663284655378E-4</v>
      </c>
      <c r="R1736">
        <v>6.0594644360731484E-4</v>
      </c>
      <c r="S1736">
        <v>5.8495042545762169E-2</v>
      </c>
      <c r="T1736">
        <v>1.0604076246809337</v>
      </c>
      <c r="U1736">
        <v>0</v>
      </c>
      <c r="V1736">
        <v>9.5722709090326777E-2</v>
      </c>
      <c r="W1736">
        <v>3.7269489206682466E-2</v>
      </c>
      <c r="X1736">
        <v>7.6945026137470252E-3</v>
      </c>
      <c r="Y1736">
        <v>1.6491864693076595E-3</v>
      </c>
    </row>
    <row r="1737" spans="1:25" x14ac:dyDescent="0.25">
      <c r="A1737" s="1096"/>
      <c r="B1737" s="1455">
        <v>1487</v>
      </c>
      <c r="C1737" s="1100">
        <v>1.0158457612413752</v>
      </c>
      <c r="D1737" s="1100">
        <v>0.98472140318950163</v>
      </c>
      <c r="E1737" s="1100">
        <v>0.98365117934202484</v>
      </c>
      <c r="F1737" s="1100">
        <v>1.0094208146889281</v>
      </c>
      <c r="G1737" s="1100">
        <v>0.97120345576590783</v>
      </c>
      <c r="H1737" s="1100">
        <v>1.0101373391882886</v>
      </c>
      <c r="I1737" s="1100">
        <v>1.0015816234021584</v>
      </c>
      <c r="K1737">
        <v>1.3228428336769134</v>
      </c>
      <c r="L1737">
        <v>0</v>
      </c>
      <c r="M1737">
        <v>6.2205098536848101E-4</v>
      </c>
      <c r="N1737">
        <v>5.4443321488718457E-2</v>
      </c>
      <c r="O1737">
        <v>7.684102859209745E-3</v>
      </c>
      <c r="P1737">
        <v>1.6154881814134384E-2</v>
      </c>
      <c r="Q1737">
        <v>4.3760693999206926E-4</v>
      </c>
      <c r="R1737">
        <v>6.2023384123703531E-4</v>
      </c>
      <c r="S1737">
        <v>6.0506457454445224E-2</v>
      </c>
      <c r="T1737">
        <v>1.0425998811408543</v>
      </c>
      <c r="U1737">
        <v>0</v>
      </c>
      <c r="V1737">
        <v>9.5921699600115304E-2</v>
      </c>
      <c r="W1737">
        <v>3.611706054826886E-2</v>
      </c>
      <c r="X1737">
        <v>7.2915669194897805E-3</v>
      </c>
      <c r="Y1737">
        <v>1.6880720558163963E-3</v>
      </c>
    </row>
    <row r="1738" spans="1:25" x14ac:dyDescent="0.25">
      <c r="A1738" s="1096"/>
      <c r="B1738" s="1455">
        <v>1488</v>
      </c>
      <c r="C1738" s="1100">
        <v>1.0207045450940995</v>
      </c>
      <c r="D1738" s="1100">
        <v>1.0109537097005306</v>
      </c>
      <c r="E1738" s="1100">
        <v>0.97889363504005589</v>
      </c>
      <c r="F1738" s="1100">
        <v>0.97097873575448934</v>
      </c>
      <c r="G1738" s="1100">
        <v>0.97620427335541948</v>
      </c>
      <c r="H1738" s="1100">
        <v>1.0190909934212957</v>
      </c>
      <c r="I1738" s="1100">
        <v>0.99906052215231966</v>
      </c>
      <c r="K1738">
        <v>1.2804887381292416</v>
      </c>
      <c r="L1738">
        <v>0</v>
      </c>
      <c r="M1738">
        <v>6.2415486705268348E-4</v>
      </c>
      <c r="N1738">
        <v>5.3848202639553894E-2</v>
      </c>
      <c r="O1738">
        <v>7.5663870052403671E-3</v>
      </c>
      <c r="P1738">
        <v>1.5553497218698304E-2</v>
      </c>
      <c r="Q1738">
        <v>4.2882590313121801E-4</v>
      </c>
      <c r="R1738">
        <v>6.2234759631667896E-4</v>
      </c>
      <c r="S1738">
        <v>5.9488607091970847E-2</v>
      </c>
      <c r="T1738">
        <v>1.0030343176767904</v>
      </c>
      <c r="U1738">
        <v>0</v>
      </c>
      <c r="V1738">
        <v>9.6042301980598557E-2</v>
      </c>
      <c r="W1738">
        <v>3.5824929511811383E-2</v>
      </c>
      <c r="X1738">
        <v>7.0096513718386454E-3</v>
      </c>
      <c r="Y1738">
        <v>1.6938250003440112E-3</v>
      </c>
    </row>
    <row r="1739" spans="1:25" x14ac:dyDescent="0.25">
      <c r="A1739" s="1096"/>
      <c r="B1739" s="1455">
        <v>1489</v>
      </c>
      <c r="C1739" s="1100">
        <v>1.0237322054618287</v>
      </c>
      <c r="D1739" s="1100">
        <v>1.0048730435718736</v>
      </c>
      <c r="E1739" s="1100">
        <v>1.0011166494460704</v>
      </c>
      <c r="F1739" s="1100">
        <v>1.0034256292429624</v>
      </c>
      <c r="G1739" s="1100">
        <v>0.99142958799838321</v>
      </c>
      <c r="H1739" s="1100">
        <v>0.98535365596694935</v>
      </c>
      <c r="I1739" s="1100">
        <v>1.0252494301368986</v>
      </c>
      <c r="K1739">
        <v>1.3140356001420135</v>
      </c>
      <c r="L1739">
        <v>0</v>
      </c>
      <c r="M1739">
        <v>5.7602954119938352E-4</v>
      </c>
      <c r="N1739">
        <v>5.3144779117877863E-2</v>
      </c>
      <c r="O1739">
        <v>7.5675465422815691E-3</v>
      </c>
      <c r="P1739">
        <v>1.6281443047739784E-2</v>
      </c>
      <c r="Q1739">
        <v>4.3863457186002822E-4</v>
      </c>
      <c r="R1739">
        <v>5.7430451203272913E-4</v>
      </c>
      <c r="S1739">
        <v>6.0056310343199214E-2</v>
      </c>
      <c r="T1739">
        <v>1.0358820117692866</v>
      </c>
      <c r="U1739">
        <v>0</v>
      </c>
      <c r="V1739">
        <v>9.6731401023649785E-2</v>
      </c>
      <c r="W1739">
        <v>3.4889354467924509E-2</v>
      </c>
      <c r="X1739">
        <v>7.4827767250392006E-3</v>
      </c>
      <c r="Y1739">
        <v>1.563067562321578E-3</v>
      </c>
    </row>
    <row r="1740" spans="1:25" x14ac:dyDescent="0.25">
      <c r="A1740" s="1096"/>
      <c r="B1740" s="1455">
        <v>1490</v>
      </c>
      <c r="C1740" s="1100">
        <v>0.97605906061481262</v>
      </c>
      <c r="D1740" s="1100">
        <v>0.99665339459096236</v>
      </c>
      <c r="E1740" s="1100">
        <v>1.0375168587610093</v>
      </c>
      <c r="F1740" s="1100">
        <v>0.99780278307136916</v>
      </c>
      <c r="G1740" s="1100">
        <v>1.0308454846252015</v>
      </c>
      <c r="H1740" s="1100">
        <v>1.0206263323209563</v>
      </c>
      <c r="I1740" s="1100">
        <v>0.98343930867740048</v>
      </c>
      <c r="K1740">
        <v>1.3240315110305709</v>
      </c>
      <c r="L1740">
        <v>0</v>
      </c>
      <c r="M1740">
        <v>5.8206066723488022E-4</v>
      </c>
      <c r="N1740">
        <v>5.9940747773380966E-2</v>
      </c>
      <c r="O1740">
        <v>7.9724773553289663E-3</v>
      </c>
      <c r="P1740">
        <v>1.6694225346344165E-2</v>
      </c>
      <c r="Q1740">
        <v>4.7914084652532978E-4</v>
      </c>
      <c r="R1740">
        <v>5.8037781764142362E-4</v>
      </c>
      <c r="S1740">
        <v>6.1811156630526651E-2</v>
      </c>
      <c r="T1740">
        <v>1.0290170415480919</v>
      </c>
      <c r="U1740">
        <v>0</v>
      </c>
      <c r="V1740">
        <v>9.9862305987514471E-2</v>
      </c>
      <c r="W1740">
        <v>3.8521248696095557E-2</v>
      </c>
      <c r="X1740">
        <v>8.1552525982311053E-3</v>
      </c>
      <c r="Y1740">
        <v>1.5795970981237883E-3</v>
      </c>
    </row>
    <row r="1741" spans="1:25" x14ac:dyDescent="0.25">
      <c r="A1741" s="1096"/>
      <c r="B1741" s="1455">
        <v>1491</v>
      </c>
      <c r="C1741" s="1100">
        <v>1.007773131110828</v>
      </c>
      <c r="D1741" s="1100">
        <v>0.98612753605378667</v>
      </c>
      <c r="E1741" s="1100">
        <v>1.0241906856273779</v>
      </c>
      <c r="F1741" s="1100">
        <v>1.0123708062664758</v>
      </c>
      <c r="G1741" s="1100">
        <v>0.98582808800420174</v>
      </c>
      <c r="H1741" s="1100">
        <v>1.0061105789006139</v>
      </c>
      <c r="I1741" s="1100">
        <v>0.99003808903147861</v>
      </c>
      <c r="K1741">
        <v>1.3293583997996659</v>
      </c>
      <c r="L1741">
        <v>0</v>
      </c>
      <c r="M1741">
        <v>5.7380760726139771E-4</v>
      </c>
      <c r="N1741">
        <v>5.676182315617772E-2</v>
      </c>
      <c r="O1741">
        <v>7.7511713953055342E-3</v>
      </c>
      <c r="P1741">
        <v>1.668299903051737E-2</v>
      </c>
      <c r="Q1741">
        <v>4.5974588393270721E-4</v>
      </c>
      <c r="R1741">
        <v>5.7212468364662664E-4</v>
      </c>
      <c r="S1741">
        <v>6.0159992518705636E-2</v>
      </c>
      <c r="T1741">
        <v>1.0444300147743408</v>
      </c>
      <c r="U1741">
        <v>0</v>
      </c>
      <c r="V1741">
        <v>9.6869487006547489E-2</v>
      </c>
      <c r="W1741">
        <v>3.6761379422026924E-2</v>
      </c>
      <c r="X1741">
        <v>7.9263347476925174E-3</v>
      </c>
      <c r="Y1741">
        <v>1.5571347880348409E-3</v>
      </c>
    </row>
    <row r="1742" spans="1:25" x14ac:dyDescent="0.25">
      <c r="A1742" s="1096"/>
      <c r="B1742" s="1455">
        <v>1492</v>
      </c>
      <c r="C1742" s="1100">
        <v>1.0186471467576121</v>
      </c>
      <c r="D1742" s="1100">
        <v>1.0020650676107732</v>
      </c>
      <c r="E1742" s="1100">
        <v>0.98806782688003936</v>
      </c>
      <c r="F1742" s="1100">
        <v>0.9944261433167606</v>
      </c>
      <c r="G1742" s="1100">
        <v>1.0348570221141844</v>
      </c>
      <c r="H1742" s="1100">
        <v>0.98732817882817536</v>
      </c>
      <c r="I1742" s="1100">
        <v>0.98767435002399584</v>
      </c>
      <c r="K1742">
        <v>1.3050616571799853</v>
      </c>
      <c r="L1742">
        <v>0</v>
      </c>
      <c r="M1742">
        <v>5.966341425024511E-4</v>
      </c>
      <c r="N1742">
        <v>5.2917392138535135E-2</v>
      </c>
      <c r="O1742">
        <v>7.6107017519433332E-3</v>
      </c>
      <c r="P1742">
        <v>1.6008400537316971E-2</v>
      </c>
      <c r="Q1742">
        <v>4.3537047408529758E-4</v>
      </c>
      <c r="R1742">
        <v>5.9485098219427661E-4</v>
      </c>
      <c r="S1742">
        <v>5.8277712443975921E-2</v>
      </c>
      <c r="T1742">
        <v>1.0269797601735227</v>
      </c>
      <c r="U1742">
        <v>0</v>
      </c>
      <c r="V1742">
        <v>9.8938571390844096E-2</v>
      </c>
      <c r="W1742">
        <v>3.501171394584774E-2</v>
      </c>
      <c r="X1742">
        <v>7.2648292032631134E-3</v>
      </c>
      <c r="Y1742">
        <v>1.6189882809592418E-3</v>
      </c>
    </row>
    <row r="1743" spans="1:25" x14ac:dyDescent="0.25">
      <c r="A1743" s="1096"/>
      <c r="B1743" s="1455">
        <v>1493</v>
      </c>
      <c r="C1743" s="1100">
        <v>1.0271492622244018</v>
      </c>
      <c r="D1743" s="1100">
        <v>1.0127012738211043</v>
      </c>
      <c r="E1743" s="1100">
        <v>0.99622988746422414</v>
      </c>
      <c r="F1743" s="1100">
        <v>1.0300842660118472</v>
      </c>
      <c r="G1743" s="1100">
        <v>1.0025424434250625</v>
      </c>
      <c r="H1743" s="1100">
        <v>0.96434417391928617</v>
      </c>
      <c r="I1743" s="1100">
        <v>1.0015288016364743</v>
      </c>
      <c r="K1743">
        <v>1.337209629804295</v>
      </c>
      <c r="L1743">
        <v>0</v>
      </c>
      <c r="M1743">
        <v>5.6583630363173543E-4</v>
      </c>
      <c r="N1743">
        <v>5.1435824477342122E-2</v>
      </c>
      <c r="O1743">
        <v>7.5178340817741579E-3</v>
      </c>
      <c r="P1743">
        <v>1.657120039812035E-2</v>
      </c>
      <c r="Q1743">
        <v>4.3361634120078643E-4</v>
      </c>
      <c r="R1743">
        <v>5.6410488309153247E-4</v>
      </c>
      <c r="S1743">
        <v>5.7601526209266403E-2</v>
      </c>
      <c r="T1743">
        <v>1.0635529674669437</v>
      </c>
      <c r="U1743">
        <v>0</v>
      </c>
      <c r="V1743">
        <v>9.7183071361313572E-2</v>
      </c>
      <c r="W1743">
        <v>3.386575261596135E-2</v>
      </c>
      <c r="X1743">
        <v>7.5142607382614607E-3</v>
      </c>
      <c r="Y1743">
        <v>1.5353075346504173E-3</v>
      </c>
    </row>
    <row r="1744" spans="1:25" x14ac:dyDescent="0.25">
      <c r="A1744" s="1096"/>
      <c r="B1744" s="1455">
        <v>1494</v>
      </c>
      <c r="C1744" s="1100">
        <v>1.0365768430376334</v>
      </c>
      <c r="D1744" s="1100">
        <v>1.0131118532939694</v>
      </c>
      <c r="E1744" s="1100">
        <v>0.95766109920526921</v>
      </c>
      <c r="F1744" s="1100">
        <v>1.0323828482847537</v>
      </c>
      <c r="G1744" s="1100">
        <v>0.96127546311407153</v>
      </c>
      <c r="H1744" s="1100">
        <v>0.97176670896077355</v>
      </c>
      <c r="I1744" s="1100">
        <v>1.0061500586676548</v>
      </c>
      <c r="K1744">
        <v>1.3349959620965195</v>
      </c>
      <c r="L1744">
        <v>0</v>
      </c>
      <c r="M1744">
        <v>6.1178790575888351E-4</v>
      </c>
      <c r="N1744">
        <v>4.9487338196055296E-2</v>
      </c>
      <c r="O1744">
        <v>7.4392001432337946E-3</v>
      </c>
      <c r="P1744">
        <v>1.6107691559958677E-2</v>
      </c>
      <c r="Q1744">
        <v>4.1255780943254646E-4</v>
      </c>
      <c r="R1744">
        <v>6.0993017535514193E-4</v>
      </c>
      <c r="S1744">
        <v>5.7511678027703038E-2</v>
      </c>
      <c r="T1744">
        <v>1.0671388759795333</v>
      </c>
      <c r="U1744">
        <v>0</v>
      </c>
      <c r="V1744">
        <v>9.4925704773276567E-2</v>
      </c>
      <c r="W1744">
        <v>3.3352493459464741E-2</v>
      </c>
      <c r="X1744">
        <v>6.9622510043775097E-3</v>
      </c>
      <c r="Y1744">
        <v>1.6600288738884276E-3</v>
      </c>
    </row>
    <row r="1745" spans="1:25" x14ac:dyDescent="0.25">
      <c r="A1745" s="1096"/>
      <c r="B1745" s="1455">
        <v>1495</v>
      </c>
      <c r="C1745" s="1100">
        <v>1.0059539859336046</v>
      </c>
      <c r="D1745" s="1100">
        <v>0.95769086632354383</v>
      </c>
      <c r="E1745" s="1100">
        <v>1.0011382970804603</v>
      </c>
      <c r="F1745" s="1100">
        <v>1.0004971774867983</v>
      </c>
      <c r="G1745" s="1100">
        <v>1.0216858090629426</v>
      </c>
      <c r="H1745" s="1100">
        <v>1.0126163463204967</v>
      </c>
      <c r="I1745" s="1100">
        <v>0.99564474405496739</v>
      </c>
      <c r="K1745">
        <v>1.3209192285897595</v>
      </c>
      <c r="L1745">
        <v>0</v>
      </c>
      <c r="M1745">
        <v>6.14102186084091E-4</v>
      </c>
      <c r="N1745">
        <v>5.6665668155570531E-2</v>
      </c>
      <c r="O1745">
        <v>7.8508736573450841E-3</v>
      </c>
      <c r="P1745">
        <v>1.6289350969404721E-2</v>
      </c>
      <c r="Q1745">
        <v>4.5506684016273074E-4</v>
      </c>
      <c r="R1745">
        <v>6.1231265384008662E-4</v>
      </c>
      <c r="S1745">
        <v>6.1746665413208814E-2</v>
      </c>
      <c r="T1745">
        <v>1.0328581936101626</v>
      </c>
      <c r="U1745">
        <v>0</v>
      </c>
      <c r="V1745">
        <v>9.8622979673621297E-2</v>
      </c>
      <c r="W1745">
        <v>3.720032713028814E-2</v>
      </c>
      <c r="X1745">
        <v>7.5653794772967539E-3</v>
      </c>
      <c r="Y1745">
        <v>1.6665131949406254E-3</v>
      </c>
    </row>
    <row r="1746" spans="1:25" x14ac:dyDescent="0.25">
      <c r="A1746" s="1096"/>
      <c r="B1746" s="1455">
        <v>1496</v>
      </c>
      <c r="C1746" s="1100">
        <v>0.99252842254079743</v>
      </c>
      <c r="D1746" s="1100">
        <v>0.98621040458623244</v>
      </c>
      <c r="E1746" s="1100">
        <v>1.0169047787949403</v>
      </c>
      <c r="F1746" s="1100">
        <v>1.0081389068604503</v>
      </c>
      <c r="G1746" s="1100">
        <v>1.046317910061229</v>
      </c>
      <c r="H1746" s="1100">
        <v>0.99598348766543443</v>
      </c>
      <c r="I1746" s="1100">
        <v>1.043499705763647</v>
      </c>
      <c r="K1746">
        <v>1.3324151013452807</v>
      </c>
      <c r="L1746">
        <v>0</v>
      </c>
      <c r="M1746">
        <v>5.8554757227228388E-4</v>
      </c>
      <c r="N1746">
        <v>5.6662250248354626E-2</v>
      </c>
      <c r="O1746">
        <v>7.868143043001468E-3</v>
      </c>
      <c r="P1746">
        <v>1.6636089285998083E-2</v>
      </c>
      <c r="Q1746">
        <v>4.6331675081430181E-4</v>
      </c>
      <c r="R1746">
        <v>5.8381275449166886E-4</v>
      </c>
      <c r="S1746">
        <v>6.4045028270005314E-2</v>
      </c>
      <c r="T1746">
        <v>1.0402782495538969</v>
      </c>
      <c r="U1746">
        <v>0</v>
      </c>
      <c r="V1746">
        <v>0.10016580429481756</v>
      </c>
      <c r="W1746">
        <v>3.6853583974768303E-2</v>
      </c>
      <c r="X1746">
        <v>7.855424877500284E-3</v>
      </c>
      <c r="Y1746">
        <v>1.5889458639035277E-3</v>
      </c>
    </row>
    <row r="1747" spans="1:25" x14ac:dyDescent="0.25">
      <c r="A1747" s="1096"/>
      <c r="B1747" s="1455">
        <v>1497</v>
      </c>
      <c r="C1747" s="1100">
        <v>0.98925201908519311</v>
      </c>
      <c r="D1747" s="1100">
        <v>0.9972967500782528</v>
      </c>
      <c r="E1747" s="1100">
        <v>0.97983214478575542</v>
      </c>
      <c r="F1747" s="1100">
        <v>1.000390262732473</v>
      </c>
      <c r="G1747" s="1100">
        <v>1.0157913746647846</v>
      </c>
      <c r="H1747" s="1100">
        <v>0.99296704921295487</v>
      </c>
      <c r="I1747" s="1100">
        <v>1.0123518624162626</v>
      </c>
      <c r="K1747">
        <v>1.3179373902993763</v>
      </c>
      <c r="L1747">
        <v>0</v>
      </c>
      <c r="M1747">
        <v>6.2969082142115052E-4</v>
      </c>
      <c r="N1747">
        <v>5.4476138751066515E-2</v>
      </c>
      <c r="O1747">
        <v>7.8497758648828214E-3</v>
      </c>
      <c r="P1747">
        <v>1.6040010200835234E-2</v>
      </c>
      <c r="Q1747">
        <v>4.4531173171960298E-4</v>
      </c>
      <c r="R1747">
        <v>6.2781955189870843E-4</v>
      </c>
      <c r="S1747">
        <v>6.1834754640551555E-2</v>
      </c>
      <c r="T1747">
        <v>1.0333883026209056</v>
      </c>
      <c r="U1747">
        <v>0</v>
      </c>
      <c r="V1747">
        <v>9.8729892534554178E-2</v>
      </c>
      <c r="W1747">
        <v>3.6222149073495587E-2</v>
      </c>
      <c r="X1747">
        <v>7.2442082912782639E-3</v>
      </c>
      <c r="Y1747">
        <v>1.708717859608623E-3</v>
      </c>
    </row>
    <row r="1748" spans="1:25" x14ac:dyDescent="0.25">
      <c r="A1748" s="1096"/>
      <c r="B1748" s="1455">
        <v>1498</v>
      </c>
      <c r="C1748" s="1100">
        <v>1.0038646245070049</v>
      </c>
      <c r="D1748" s="1100">
        <v>1.0132274577384892</v>
      </c>
      <c r="E1748" s="1100">
        <v>1.0326252314160538</v>
      </c>
      <c r="F1748" s="1100">
        <v>0.99259897011148723</v>
      </c>
      <c r="G1748" s="1100">
        <v>1.001000615211403</v>
      </c>
      <c r="H1748" s="1100">
        <v>0.99601523130872505</v>
      </c>
      <c r="I1748" s="1100">
        <v>1.0279749456100928</v>
      </c>
      <c r="K1748">
        <v>1.3096185574702894</v>
      </c>
      <c r="L1748">
        <v>0</v>
      </c>
      <c r="M1748">
        <v>5.5428536425869944E-4</v>
      </c>
      <c r="N1748">
        <v>5.6241176628982516E-2</v>
      </c>
      <c r="O1748">
        <v>7.6994846625752858E-3</v>
      </c>
      <c r="P1748">
        <v>1.6527772454859872E-2</v>
      </c>
      <c r="Q1748">
        <v>4.6050781357868448E-4</v>
      </c>
      <c r="R1748">
        <v>5.526432202132243E-4</v>
      </c>
      <c r="S1748">
        <v>6.1498179014281777E-2</v>
      </c>
      <c r="T1748">
        <v>1.0237899135430195</v>
      </c>
      <c r="U1748">
        <v>0</v>
      </c>
      <c r="V1748">
        <v>9.7708897562233485E-2</v>
      </c>
      <c r="W1748">
        <v>3.6246065508643788E-2</v>
      </c>
      <c r="X1748">
        <v>7.94408975952632E-3</v>
      </c>
      <c r="Y1748">
        <v>1.5041126666318148E-3</v>
      </c>
    </row>
    <row r="1749" spans="1:25" x14ac:dyDescent="0.25">
      <c r="A1749" s="1096"/>
      <c r="B1749" s="1455">
        <v>1499</v>
      </c>
      <c r="C1749" s="1100">
        <v>1.0346068770868866</v>
      </c>
      <c r="D1749" s="1100">
        <v>1.0163021542777027</v>
      </c>
      <c r="E1749" s="1100">
        <v>1.0010714973330779</v>
      </c>
      <c r="F1749" s="1100">
        <v>0.9769813061994459</v>
      </c>
      <c r="G1749" s="1100">
        <v>1.0015160221934305</v>
      </c>
      <c r="H1749" s="1100">
        <v>0.9719730964816381</v>
      </c>
      <c r="I1749" s="1100">
        <v>0.96866716469712766</v>
      </c>
      <c r="K1749">
        <v>1.2790568506181963</v>
      </c>
      <c r="L1749">
        <v>0</v>
      </c>
      <c r="M1749">
        <v>5.5974973408553336E-4</v>
      </c>
      <c r="N1749">
        <v>5.1633616915148506E-2</v>
      </c>
      <c r="O1749">
        <v>7.454196301862886E-3</v>
      </c>
      <c r="P1749">
        <v>1.5848217256015061E-2</v>
      </c>
      <c r="Q1749">
        <v>4.3204490138199197E-4</v>
      </c>
      <c r="R1749">
        <v>5.5805038160356823E-4</v>
      </c>
      <c r="S1749">
        <v>5.5425368534803204E-2</v>
      </c>
      <c r="T1749">
        <v>1.0085836433797895</v>
      </c>
      <c r="U1749">
        <v>0</v>
      </c>
      <c r="V1749">
        <v>9.6964848070627052E-2</v>
      </c>
      <c r="W1749">
        <v>3.3898190862805683E-2</v>
      </c>
      <c r="X1749">
        <v>7.2995945707777232E-3</v>
      </c>
      <c r="Y1749">
        <v>1.5188291774660577E-3</v>
      </c>
    </row>
    <row r="1750" spans="1:25" x14ac:dyDescent="0.25">
      <c r="A1750" s="1096"/>
      <c r="B1750" s="1455">
        <v>1500</v>
      </c>
      <c r="C1750" s="1100">
        <v>0.97281788617518783</v>
      </c>
      <c r="D1750" s="1100">
        <v>0.96053510967180145</v>
      </c>
      <c r="E1750" s="1100">
        <v>1.0125690296805228</v>
      </c>
      <c r="F1750" s="1100">
        <v>1.0140055231856173</v>
      </c>
      <c r="G1750" s="1100">
        <v>0.99350651369142751</v>
      </c>
      <c r="H1750" s="1100">
        <v>1.0032495553769312</v>
      </c>
      <c r="I1750" s="1100">
        <v>0.9539306580638468</v>
      </c>
      <c r="K1750">
        <v>1.3369136382828692</v>
      </c>
      <c r="L1750">
        <v>0</v>
      </c>
      <c r="M1750">
        <v>6.1365985495453665E-4</v>
      </c>
      <c r="N1750">
        <v>5.8611916152070585E-2</v>
      </c>
      <c r="O1750">
        <v>8.1116000468469621E-3</v>
      </c>
      <c r="P1750">
        <v>1.6595240006476927E-2</v>
      </c>
      <c r="Q1750">
        <v>4.7559237560733131E-4</v>
      </c>
      <c r="R1750">
        <v>6.1185491584443013E-4</v>
      </c>
      <c r="S1750">
        <v>6.0803697504587577E-2</v>
      </c>
      <c r="T1750">
        <v>1.0464608280296164</v>
      </c>
      <c r="U1750">
        <v>0</v>
      </c>
      <c r="V1750">
        <v>9.8111810806310068E-2</v>
      </c>
      <c r="W1750">
        <v>3.8218888497067442E-2</v>
      </c>
      <c r="X1750">
        <v>7.8606024203858472E-3</v>
      </c>
      <c r="Y1750">
        <v>1.6652673830097381E-3</v>
      </c>
    </row>
    <row r="1751" spans="1:25" x14ac:dyDescent="0.25">
      <c r="A1751" s="1096"/>
      <c r="B1751" s="1455">
        <v>1501</v>
      </c>
      <c r="C1751" s="1100">
        <v>1.0108438163329794</v>
      </c>
      <c r="D1751" s="1100">
        <v>0.96286355277452096</v>
      </c>
      <c r="E1751" s="1100">
        <v>1.0050404150867223</v>
      </c>
      <c r="F1751" s="1100">
        <v>1.0065582161091813</v>
      </c>
      <c r="G1751" s="1100">
        <v>0.9853884350746076</v>
      </c>
      <c r="H1751" s="1100">
        <v>1.0243408764093456</v>
      </c>
      <c r="I1751" s="1100">
        <v>0.99759601863101444</v>
      </c>
      <c r="K1751">
        <v>1.3260006185597726</v>
      </c>
      <c r="L1751">
        <v>0</v>
      </c>
      <c r="M1751">
        <v>6.1190156844410904E-4</v>
      </c>
      <c r="N1751">
        <v>5.7133951412778272E-2</v>
      </c>
      <c r="O1751">
        <v>7.7970424712259919E-3</v>
      </c>
      <c r="P1751">
        <v>1.6395241481240753E-2</v>
      </c>
      <c r="Q1751">
        <v>4.5371970271179934E-4</v>
      </c>
      <c r="R1751">
        <v>6.1013885839207636E-4</v>
      </c>
      <c r="S1751">
        <v>6.175327629363158E-2</v>
      </c>
      <c r="T1751">
        <v>1.0389987289066536</v>
      </c>
      <c r="U1751">
        <v>0</v>
      </c>
      <c r="V1751">
        <v>9.6752160850831714E-2</v>
      </c>
      <c r="W1751">
        <v>3.7421073369474485E-2</v>
      </c>
      <c r="X1751">
        <v>7.6365899409539095E-3</v>
      </c>
      <c r="Y1751">
        <v>1.6605968403226182E-3</v>
      </c>
    </row>
    <row r="1752" spans="1:25" x14ac:dyDescent="0.25">
      <c r="A1752" s="1096"/>
      <c r="B1752" s="1455">
        <v>1502</v>
      </c>
      <c r="C1752" s="1100">
        <v>1.0087952333632937</v>
      </c>
      <c r="D1752" s="1100">
        <v>1.0272761108304636</v>
      </c>
      <c r="E1752" s="1100">
        <v>0.9655397227149709</v>
      </c>
      <c r="F1752" s="1100">
        <v>0.99043862507059277</v>
      </c>
      <c r="G1752" s="1100">
        <v>1.0170787186740671</v>
      </c>
      <c r="H1752" s="1100">
        <v>0.98138461050416215</v>
      </c>
      <c r="I1752" s="1100">
        <v>1.0182985379871883</v>
      </c>
      <c r="K1752">
        <v>1.29981629533846</v>
      </c>
      <c r="L1752">
        <v>0</v>
      </c>
      <c r="M1752">
        <v>6.2117002303486762E-4</v>
      </c>
      <c r="N1752">
        <v>5.1461615907167288E-2</v>
      </c>
      <c r="O1752">
        <v>7.6036210631137136E-3</v>
      </c>
      <c r="P1752">
        <v>1.5700116926775122E-2</v>
      </c>
      <c r="Q1752">
        <v>4.2510152605450025E-4</v>
      </c>
      <c r="R1752">
        <v>6.1930228886583388E-4</v>
      </c>
      <c r="S1752">
        <v>5.9664799418236499E-2</v>
      </c>
      <c r="T1752">
        <v>1.0235413232052581</v>
      </c>
      <c r="U1752">
        <v>0</v>
      </c>
      <c r="V1752">
        <v>9.8291192650184558E-2</v>
      </c>
      <c r="W1752">
        <v>3.4516054976829046E-2</v>
      </c>
      <c r="X1752">
        <v>6.9288007216604715E-3</v>
      </c>
      <c r="Y1752">
        <v>1.6855366773481423E-3</v>
      </c>
    </row>
    <row r="1753" spans="1:25" x14ac:dyDescent="0.25">
      <c r="A1753" s="1096"/>
      <c r="B1753" s="1455">
        <v>1503</v>
      </c>
      <c r="C1753" s="1100">
        <v>0.97868358179522164</v>
      </c>
      <c r="D1753" s="1100">
        <v>1.0102576025653649</v>
      </c>
      <c r="E1753" s="1100">
        <v>1.0216037527422981</v>
      </c>
      <c r="F1753" s="1100">
        <v>1.018961420894867</v>
      </c>
      <c r="G1753" s="1100">
        <v>0.99740558658753231</v>
      </c>
      <c r="H1753" s="1100">
        <v>1.0073666380096857</v>
      </c>
      <c r="I1753" s="1100">
        <v>0.99996363541566158</v>
      </c>
      <c r="K1753">
        <v>1.3413181833544792</v>
      </c>
      <c r="L1753">
        <v>0</v>
      </c>
      <c r="M1753">
        <v>5.8907098297853843E-4</v>
      </c>
      <c r="N1753">
        <v>5.7819009765912213E-2</v>
      </c>
      <c r="O1753">
        <v>7.904102567192036E-3</v>
      </c>
      <c r="P1753">
        <v>1.6787378425000676E-2</v>
      </c>
      <c r="Q1753">
        <v>4.6761447270837303E-4</v>
      </c>
      <c r="R1753">
        <v>5.8734544753282479E-4</v>
      </c>
      <c r="S1753">
        <v>6.1800157295424277E-2</v>
      </c>
      <c r="T1753">
        <v>1.0513060055451882</v>
      </c>
      <c r="U1753">
        <v>0</v>
      </c>
      <c r="V1753">
        <v>9.8157956848270542E-2</v>
      </c>
      <c r="W1753">
        <v>3.7502646748795991E-2</v>
      </c>
      <c r="X1753">
        <v>7.976476531621245E-3</v>
      </c>
      <c r="Y1753">
        <v>1.5985606898096061E-3</v>
      </c>
    </row>
    <row r="1754" spans="1:25" x14ac:dyDescent="0.25">
      <c r="A1754" s="1096"/>
      <c r="B1754" s="1455">
        <v>1504</v>
      </c>
      <c r="C1754" s="1100">
        <v>0.99740599747580072</v>
      </c>
      <c r="D1754" s="1100">
        <v>0.98327606669856038</v>
      </c>
      <c r="E1754" s="1100">
        <v>0.96228565983410519</v>
      </c>
      <c r="F1754" s="1100">
        <v>0.99147476698257075</v>
      </c>
      <c r="G1754" s="1100">
        <v>1.0204500361722029</v>
      </c>
      <c r="H1754" s="1100">
        <v>1.0154338902529558</v>
      </c>
      <c r="I1754" s="1100">
        <v>1.0111548904817653</v>
      </c>
      <c r="K1754">
        <v>1.3099412705075726</v>
      </c>
      <c r="L1754">
        <v>0</v>
      </c>
      <c r="M1754">
        <v>6.659985584570226E-4</v>
      </c>
      <c r="N1754">
        <v>5.4639805151204097E-2</v>
      </c>
      <c r="O1754">
        <v>7.8254932196411397E-3</v>
      </c>
      <c r="P1754">
        <v>1.5718486724457522E-2</v>
      </c>
      <c r="Q1754">
        <v>4.360482820929488E-4</v>
      </c>
      <c r="R1754">
        <v>6.6406318200089851E-4</v>
      </c>
      <c r="S1754">
        <v>6.2406723831295072E-2</v>
      </c>
      <c r="T1754">
        <v>1.0247116139368755</v>
      </c>
      <c r="U1754">
        <v>0</v>
      </c>
      <c r="V1754">
        <v>9.8731018566139389E-2</v>
      </c>
      <c r="W1754">
        <v>3.6720719298834012E-2</v>
      </c>
      <c r="X1754">
        <v>6.9459358004505803E-3</v>
      </c>
      <c r="Y1754">
        <v>1.8073610730373326E-3</v>
      </c>
    </row>
    <row r="1755" spans="1:25" x14ac:dyDescent="0.25">
      <c r="A1755" s="1096"/>
      <c r="B1755" s="1455">
        <v>1505</v>
      </c>
      <c r="C1755" s="1100">
        <v>0.98397338760441511</v>
      </c>
      <c r="D1755" s="1100">
        <v>1.0126415891703451</v>
      </c>
      <c r="E1755" s="1100">
        <v>1.0312461588993187</v>
      </c>
      <c r="F1755" s="1100">
        <v>1.002004496136361</v>
      </c>
      <c r="G1755" s="1100">
        <v>1.0274152654640278</v>
      </c>
      <c r="H1755" s="1100">
        <v>1.0407980538735544</v>
      </c>
      <c r="I1755" s="1100">
        <v>1.0063326118291298</v>
      </c>
      <c r="K1755">
        <v>1.3290705586077822</v>
      </c>
      <c r="L1755">
        <v>0</v>
      </c>
      <c r="M1755">
        <v>5.9275409135843636E-4</v>
      </c>
      <c r="N1755">
        <v>5.9902621218698007E-2</v>
      </c>
      <c r="O1755">
        <v>7.8566049989839595E-3</v>
      </c>
      <c r="P1755">
        <v>1.6690595249067457E-2</v>
      </c>
      <c r="Q1755">
        <v>4.6926562308575325E-4</v>
      </c>
      <c r="R1755">
        <v>5.9107353954379518E-4</v>
      </c>
      <c r="S1755">
        <v>6.2830359410390599E-2</v>
      </c>
      <c r="T1755">
        <v>1.0335308162464931</v>
      </c>
      <c r="U1755">
        <v>0</v>
      </c>
      <c r="V1755">
        <v>9.9484782488863263E-2</v>
      </c>
      <c r="W1755">
        <v>3.8636647235160797E-2</v>
      </c>
      <c r="X1755">
        <v>8.0618393615541004E-3</v>
      </c>
      <c r="Y1755">
        <v>1.608707327298266E-3</v>
      </c>
    </row>
    <row r="1756" spans="1:25" x14ac:dyDescent="0.25">
      <c r="A1756" s="1096"/>
      <c r="B1756" s="1455">
        <v>1506</v>
      </c>
      <c r="C1756" s="1100">
        <v>1.0097306586249828</v>
      </c>
      <c r="D1756" s="1100">
        <v>1.0095135470743546</v>
      </c>
      <c r="E1756" s="1100">
        <v>0.98392558777127481</v>
      </c>
      <c r="F1756" s="1100">
        <v>1.0425543067048575</v>
      </c>
      <c r="G1756" s="1100">
        <v>0.98266356029481705</v>
      </c>
      <c r="H1756" s="1100">
        <v>0.99603483323276132</v>
      </c>
      <c r="I1756" s="1100">
        <v>0.96433780224253662</v>
      </c>
      <c r="K1756">
        <v>1.3535910561801967</v>
      </c>
      <c r="L1756">
        <v>0</v>
      </c>
      <c r="M1756">
        <v>6.1062731765694641E-4</v>
      </c>
      <c r="N1756">
        <v>5.3485655668320364E-2</v>
      </c>
      <c r="O1756">
        <v>7.6541972703864959E-3</v>
      </c>
      <c r="P1756">
        <v>1.658718811074994E-2</v>
      </c>
      <c r="Q1756">
        <v>4.3602516541913736E-4</v>
      </c>
      <c r="R1756">
        <v>6.0881828869008281E-4</v>
      </c>
      <c r="S1756">
        <v>5.7424425791318734E-2</v>
      </c>
      <c r="T1756">
        <v>1.0768137975950378</v>
      </c>
      <c r="U1756">
        <v>0</v>
      </c>
      <c r="V1756">
        <v>9.6624055143732263E-2</v>
      </c>
      <c r="W1756">
        <v>3.5475895264900283E-2</v>
      </c>
      <c r="X1756">
        <v>7.4346225143779405E-3</v>
      </c>
      <c r="Y1756">
        <v>1.6570026849194773E-3</v>
      </c>
    </row>
    <row r="1757" spans="1:25" x14ac:dyDescent="0.25">
      <c r="A1757" s="1096"/>
      <c r="B1757" s="1455">
        <v>1507</v>
      </c>
      <c r="C1757" s="1100">
        <v>0.99819045213846935</v>
      </c>
      <c r="D1757" s="1100">
        <v>1.0049459967962093</v>
      </c>
      <c r="E1757" s="1100">
        <v>0.98565145793381848</v>
      </c>
      <c r="F1757" s="1100">
        <v>1.0067606702977714</v>
      </c>
      <c r="G1757" s="1100">
        <v>1.0075457852385814</v>
      </c>
      <c r="H1757" s="1100">
        <v>1.0024121868896259</v>
      </c>
      <c r="I1757" s="1100">
        <v>1.0102790284159444</v>
      </c>
      <c r="K1757">
        <v>1.3233496772646482</v>
      </c>
      <c r="L1757">
        <v>0</v>
      </c>
      <c r="M1757">
        <v>6.2055014588593982E-4</v>
      </c>
      <c r="N1757">
        <v>5.4640319328138058E-2</v>
      </c>
      <c r="O1757">
        <v>7.7571682549546807E-3</v>
      </c>
      <c r="P1757">
        <v>1.6180430401502015E-2</v>
      </c>
      <c r="Q1757">
        <v>4.4266472651914438E-4</v>
      </c>
      <c r="R1757">
        <v>6.1872341588062839E-4</v>
      </c>
      <c r="S1757">
        <v>6.1202216585016372E-2</v>
      </c>
      <c r="T1757">
        <v>1.0397914353040911</v>
      </c>
      <c r="U1757">
        <v>0</v>
      </c>
      <c r="V1757">
        <v>9.8113255212959688E-2</v>
      </c>
      <c r="W1757">
        <v>3.6204153301991907E-2</v>
      </c>
      <c r="X1757">
        <v>7.3358997035715421E-3</v>
      </c>
      <c r="Y1757">
        <v>1.6839611759078411E-3</v>
      </c>
    </row>
    <row r="1758" spans="1:25" x14ac:dyDescent="0.25">
      <c r="A1758" s="1096"/>
      <c r="B1758" s="1455">
        <v>1508</v>
      </c>
      <c r="C1758" s="1100">
        <v>1.0120508409058184</v>
      </c>
      <c r="D1758" s="1100">
        <v>1.0142939925004253</v>
      </c>
      <c r="E1758" s="1100">
        <v>1.0018718612361568</v>
      </c>
      <c r="F1758" s="1100">
        <v>0.97754673404619508</v>
      </c>
      <c r="G1758" s="1100">
        <v>1.0315700891343329</v>
      </c>
      <c r="H1758" s="1100">
        <v>1.0246054381442504</v>
      </c>
      <c r="I1758" s="1100">
        <v>1.0045852871574299</v>
      </c>
      <c r="K1758">
        <v>1.2938942103507902</v>
      </c>
      <c r="L1758">
        <v>0</v>
      </c>
      <c r="M1758">
        <v>6.0268690609458322E-4</v>
      </c>
      <c r="N1758">
        <v>5.5737614739420169E-2</v>
      </c>
      <c r="O1758">
        <v>7.6265557317706772E-3</v>
      </c>
      <c r="P1758">
        <v>1.5960637787626582E-2</v>
      </c>
      <c r="Q1758">
        <v>4.4239032107946843E-4</v>
      </c>
      <c r="R1758">
        <v>6.0095118909121541E-4</v>
      </c>
      <c r="S1758">
        <v>6.041123703506629E-2</v>
      </c>
      <c r="T1758">
        <v>1.0091441073778902</v>
      </c>
      <c r="U1758">
        <v>0</v>
      </c>
      <c r="V1758">
        <v>9.8953559265467547E-2</v>
      </c>
      <c r="W1758">
        <v>3.6575140322090076E-2</v>
      </c>
      <c r="X1758">
        <v>7.4091124541825369E-3</v>
      </c>
      <c r="Y1758">
        <v>1.6355910332000461E-3</v>
      </c>
    </row>
    <row r="1759" spans="1:25" x14ac:dyDescent="0.25">
      <c r="A1759" s="1096"/>
      <c r="B1759" s="1455">
        <v>1509</v>
      </c>
      <c r="C1759" s="1100">
        <v>1.0345681214663451</v>
      </c>
      <c r="D1759" s="1100">
        <v>1.0198706804875945</v>
      </c>
      <c r="E1759" s="1100">
        <v>0.99366158189998943</v>
      </c>
      <c r="F1759" s="1100">
        <v>0.97764983824925344</v>
      </c>
      <c r="G1759" s="1100">
        <v>1.0044176061383445</v>
      </c>
      <c r="H1759" s="1100">
        <v>0.96959262320589024</v>
      </c>
      <c r="I1759" s="1100">
        <v>0.98206065838982703</v>
      </c>
      <c r="K1759">
        <v>1.2797451114890852</v>
      </c>
      <c r="L1759">
        <v>0</v>
      </c>
      <c r="M1759">
        <v>5.6625086478003981E-4</v>
      </c>
      <c r="N1759">
        <v>5.1076352247980884E-2</v>
      </c>
      <c r="O1759">
        <v>7.4422876218933533E-3</v>
      </c>
      <c r="P1759">
        <v>1.5782729281944609E-2</v>
      </c>
      <c r="Q1759">
        <v>4.2814909789304101E-4</v>
      </c>
      <c r="R1759">
        <v>5.6452755483627154E-4</v>
      </c>
      <c r="S1759">
        <v>5.6012851328232985E-2</v>
      </c>
      <c r="T1759">
        <v>1.0094899965357351</v>
      </c>
      <c r="U1759">
        <v>0</v>
      </c>
      <c r="V1759">
        <v>9.7097944674114964E-2</v>
      </c>
      <c r="W1759">
        <v>3.3680651577842217E-2</v>
      </c>
      <c r="X1759">
        <v>7.1994145255835171E-3</v>
      </c>
      <c r="Y1759">
        <v>1.5364579078058944E-3</v>
      </c>
    </row>
    <row r="1760" spans="1:25" x14ac:dyDescent="0.25">
      <c r="A1760" s="1096"/>
      <c r="B1760" s="1455">
        <v>1510</v>
      </c>
      <c r="C1760" s="1100">
        <v>1.019150880431283</v>
      </c>
      <c r="D1760" s="1100">
        <v>0.97842614564604025</v>
      </c>
      <c r="E1760" s="1100">
        <v>1.02539486884257</v>
      </c>
      <c r="F1760" s="1100">
        <v>1.0418994849718981</v>
      </c>
      <c r="G1760" s="1100">
        <v>1.0076220373929456</v>
      </c>
      <c r="H1760" s="1100">
        <v>1.0193512292847289</v>
      </c>
      <c r="I1760" s="1100">
        <v>1.0117648222604303</v>
      </c>
      <c r="K1760">
        <v>1.3629849704340886</v>
      </c>
      <c r="L1760">
        <v>0</v>
      </c>
      <c r="M1760">
        <v>5.7523040618707229E-4</v>
      </c>
      <c r="N1760">
        <v>5.7111766836484314E-2</v>
      </c>
      <c r="O1760">
        <v>7.6890066115701695E-3</v>
      </c>
      <c r="P1760">
        <v>1.7149397307513758E-2</v>
      </c>
      <c r="Q1760">
        <v>4.5660354886553178E-4</v>
      </c>
      <c r="R1760">
        <v>5.735652238262743E-4</v>
      </c>
      <c r="S1760">
        <v>6.1456343351987623E-2</v>
      </c>
      <c r="T1760">
        <v>1.074857370579968</v>
      </c>
      <c r="U1760">
        <v>0</v>
      </c>
      <c r="V1760">
        <v>9.7650683731138305E-2</v>
      </c>
      <c r="W1760">
        <v>3.6962066491866036E-2</v>
      </c>
      <c r="X1760">
        <v>8.0923416935244942E-3</v>
      </c>
      <c r="Y1760">
        <v>1.5610554635298998E-3</v>
      </c>
    </row>
    <row r="1761" spans="1:25" x14ac:dyDescent="0.25">
      <c r="A1761" s="1096"/>
      <c r="B1761" s="1455">
        <v>1511</v>
      </c>
      <c r="C1761" s="1100">
        <v>1.0082271672703567</v>
      </c>
      <c r="D1761" s="1100">
        <v>0.99387518205927317</v>
      </c>
      <c r="E1761" s="1100">
        <v>0.98117278336859126</v>
      </c>
      <c r="F1761" s="1100">
        <v>0.99110891318069394</v>
      </c>
      <c r="G1761" s="1100">
        <v>0.98991917566333221</v>
      </c>
      <c r="H1761" s="1100">
        <v>1.0052005180752721</v>
      </c>
      <c r="I1761" s="1100">
        <v>1.0325331087929694</v>
      </c>
      <c r="K1761">
        <v>1.3063917794735951</v>
      </c>
      <c r="L1761">
        <v>0</v>
      </c>
      <c r="M1761">
        <v>6.2457813321596146E-4</v>
      </c>
      <c r="N1761">
        <v>5.4255410531782525E-2</v>
      </c>
      <c r="O1761">
        <v>7.7129620828886138E-3</v>
      </c>
      <c r="P1761">
        <v>1.5911052184469143E-2</v>
      </c>
      <c r="Q1761">
        <v>4.3814684679431565E-4</v>
      </c>
      <c r="R1761">
        <v>6.2274464598429118E-4</v>
      </c>
      <c r="S1761">
        <v>6.237949894181171E-2</v>
      </c>
      <c r="T1761">
        <v>1.0237604826371498</v>
      </c>
      <c r="U1761">
        <v>0</v>
      </c>
      <c r="V1761">
        <v>9.7008581059556509E-2</v>
      </c>
      <c r="W1761">
        <v>3.6046203063269139E-2</v>
      </c>
      <c r="X1761">
        <v>7.1863699744541196E-3</v>
      </c>
      <c r="Y1761">
        <v>1.6949056386518638E-3</v>
      </c>
    </row>
    <row r="1762" spans="1:25" x14ac:dyDescent="0.25">
      <c r="A1762" s="1096"/>
      <c r="B1762" s="1455">
        <v>1512</v>
      </c>
      <c r="C1762" s="1100">
        <v>1.0094345976496317</v>
      </c>
      <c r="D1762" s="1100">
        <v>1.0220031503496227</v>
      </c>
      <c r="E1762" s="1100">
        <v>1.0289004145294567</v>
      </c>
      <c r="F1762" s="1100">
        <v>1.0289593011382263</v>
      </c>
      <c r="G1762" s="1100">
        <v>1.0057585449406059</v>
      </c>
      <c r="H1762" s="1100">
        <v>1.0318810290248035</v>
      </c>
      <c r="I1762" s="1100">
        <v>1.0213021743652502</v>
      </c>
      <c r="K1762">
        <v>1.3502242742257964</v>
      </c>
      <c r="L1762">
        <v>0</v>
      </c>
      <c r="M1762">
        <v>5.7354454700407555E-4</v>
      </c>
      <c r="N1762">
        <v>5.7551505611183565E-2</v>
      </c>
      <c r="O1762">
        <v>7.6297298791506195E-3</v>
      </c>
      <c r="P1762">
        <v>1.7009533080675741E-2</v>
      </c>
      <c r="Q1762">
        <v>4.5465900577664652E-4</v>
      </c>
      <c r="R1762">
        <v>5.7190440539931365E-4</v>
      </c>
      <c r="S1762">
        <v>6.1576877561617741E-2</v>
      </c>
      <c r="T1762">
        <v>1.061403397474727</v>
      </c>
      <c r="U1762">
        <v>0</v>
      </c>
      <c r="V1762">
        <v>9.7798626372409672E-2</v>
      </c>
      <c r="W1762">
        <v>3.7170775150221831E-2</v>
      </c>
      <c r="X1762">
        <v>8.0742749683777558E-3</v>
      </c>
      <c r="Y1762">
        <v>1.5565352632603594E-3</v>
      </c>
    </row>
    <row r="1763" spans="1:25" x14ac:dyDescent="0.25">
      <c r="A1763" s="1096"/>
      <c r="B1763" s="1455">
        <v>1513</v>
      </c>
      <c r="C1763" s="1100">
        <v>1.0364008391859145</v>
      </c>
      <c r="D1763" s="1100">
        <v>0.99128876673333488</v>
      </c>
      <c r="E1763" s="1100">
        <v>0.99026385062806466</v>
      </c>
      <c r="F1763" s="1100">
        <v>1.0004488646789689</v>
      </c>
      <c r="G1763" s="1100">
        <v>0.98903438081650741</v>
      </c>
      <c r="H1763" s="1100">
        <v>1.0151054579237819</v>
      </c>
      <c r="I1763" s="1100">
        <v>1.0208113817027735</v>
      </c>
      <c r="K1763">
        <v>1.3122120046574735</v>
      </c>
      <c r="L1763">
        <v>0</v>
      </c>
      <c r="M1763">
        <v>6.0277757252450597E-4</v>
      </c>
      <c r="N1763">
        <v>5.3822854907024729E-2</v>
      </c>
      <c r="O1763">
        <v>7.5132724147103092E-3</v>
      </c>
      <c r="P1763">
        <v>1.6111156815581569E-2</v>
      </c>
      <c r="Q1763">
        <v>4.3075253311311129E-4</v>
      </c>
      <c r="R1763">
        <v>6.0102534805576903E-4</v>
      </c>
      <c r="S1763">
        <v>6.0386430332451106E-2</v>
      </c>
      <c r="T1763">
        <v>1.0331335372635049</v>
      </c>
      <c r="U1763">
        <v>0</v>
      </c>
      <c r="V1763">
        <v>9.6307707680410068E-2</v>
      </c>
      <c r="W1763">
        <v>3.5563946994058862E-2</v>
      </c>
      <c r="X1763">
        <v>7.3083050716315073E-3</v>
      </c>
      <c r="Y1763">
        <v>1.6357928694550651E-3</v>
      </c>
    </row>
    <row r="1764" spans="1:25" x14ac:dyDescent="0.25">
      <c r="A1764" s="1096"/>
      <c r="B1764" s="1455">
        <v>1514</v>
      </c>
      <c r="C1764" s="1100">
        <v>1.0133742397832883</v>
      </c>
      <c r="D1764" s="1100">
        <v>0.99913866082384373</v>
      </c>
      <c r="E1764" s="1100">
        <v>1.0053438665557786</v>
      </c>
      <c r="F1764" s="1100">
        <v>0.97750709031134164</v>
      </c>
      <c r="G1764" s="1100">
        <v>0.99853783521903672</v>
      </c>
      <c r="H1764" s="1100">
        <v>0.98345428096836962</v>
      </c>
      <c r="I1764" s="1100">
        <v>0.96427454024275827</v>
      </c>
      <c r="K1764">
        <v>1.2857852811756703</v>
      </c>
      <c r="L1764">
        <v>0</v>
      </c>
      <c r="M1764">
        <v>5.7704202482878686E-4</v>
      </c>
      <c r="N1764">
        <v>5.3921998209817919E-2</v>
      </c>
      <c r="O1764">
        <v>7.6634417800364677E-3</v>
      </c>
      <c r="P1764">
        <v>1.5933499030149411E-2</v>
      </c>
      <c r="Q1764">
        <v>4.4608096474939697E-4</v>
      </c>
      <c r="R1764">
        <v>5.7531062613189307E-4</v>
      </c>
      <c r="S1764">
        <v>5.7186333772788076E-2</v>
      </c>
      <c r="T1764">
        <v>1.0090025268610214</v>
      </c>
      <c r="U1764">
        <v>0</v>
      </c>
      <c r="V1764">
        <v>9.7327421894623636E-2</v>
      </c>
      <c r="W1764">
        <v>3.5310994570158932E-2</v>
      </c>
      <c r="X1764">
        <v>7.4289096177881635E-3</v>
      </c>
      <c r="Y1764">
        <v>1.5658058732340783E-3</v>
      </c>
    </row>
    <row r="1765" spans="1:25" x14ac:dyDescent="0.25">
      <c r="A1765" s="1096"/>
      <c r="B1765" s="1455">
        <v>1515</v>
      </c>
      <c r="C1765" s="1100">
        <v>1.0080203566322998</v>
      </c>
      <c r="D1765" s="1100">
        <v>1.0171871169410414</v>
      </c>
      <c r="E1765" s="1100">
        <v>1.0173100107415709</v>
      </c>
      <c r="F1765" s="1100">
        <v>0.97291067631679085</v>
      </c>
      <c r="G1765" s="1100">
        <v>1.0288750384024268</v>
      </c>
      <c r="H1765" s="1100">
        <v>1.0184618736620719</v>
      </c>
      <c r="I1765" s="1100">
        <v>1.0178585535858737</v>
      </c>
      <c r="K1765">
        <v>1.290458626128038</v>
      </c>
      <c r="L1765">
        <v>0</v>
      </c>
      <c r="M1765">
        <v>5.8182174361609909E-4</v>
      </c>
      <c r="N1765">
        <v>5.6374291794357503E-2</v>
      </c>
      <c r="O1765">
        <v>7.6520705492516333E-3</v>
      </c>
      <c r="P1765">
        <v>1.6082239002003829E-2</v>
      </c>
      <c r="Q1765">
        <v>4.5077514207206634E-4</v>
      </c>
      <c r="R1765">
        <v>5.8013600983417002E-4</v>
      </c>
      <c r="S1765">
        <v>6.1187840634639001E-2</v>
      </c>
      <c r="T1765">
        <v>1.0039154128455485</v>
      </c>
      <c r="U1765">
        <v>0</v>
      </c>
      <c r="V1765">
        <v>9.8938483192826179E-2</v>
      </c>
      <c r="W1765">
        <v>3.6657581786993333E-2</v>
      </c>
      <c r="X1765">
        <v>7.6226779371427128E-3</v>
      </c>
      <c r="Y1765">
        <v>1.5789389769843665E-3</v>
      </c>
    </row>
    <row r="1766" spans="1:25" x14ac:dyDescent="0.25">
      <c r="A1766" s="1096"/>
      <c r="B1766" s="1455">
        <v>1516</v>
      </c>
      <c r="C1766" s="1100">
        <v>1.0217809048243924</v>
      </c>
      <c r="D1766" s="1100">
        <v>0.96170954033590605</v>
      </c>
      <c r="E1766" s="1100">
        <v>1.0045253044581448</v>
      </c>
      <c r="F1766" s="1100">
        <v>0.98659347058865632</v>
      </c>
      <c r="G1766" s="1100">
        <v>1.0307399088110969</v>
      </c>
      <c r="H1766" s="1100">
        <v>0.9927275928329492</v>
      </c>
      <c r="I1766" s="1100">
        <v>1.0237316171506219</v>
      </c>
      <c r="K1766">
        <v>1.3028959982673827</v>
      </c>
      <c r="L1766">
        <v>0</v>
      </c>
      <c r="M1766">
        <v>5.8757884023185811E-4</v>
      </c>
      <c r="N1766">
        <v>5.4772586168705124E-2</v>
      </c>
      <c r="O1766">
        <v>7.7171586130669566E-3</v>
      </c>
      <c r="P1766">
        <v>1.6133548203910636E-2</v>
      </c>
      <c r="Q1766">
        <v>4.4883931536712361E-4</v>
      </c>
      <c r="R1766">
        <v>5.8583229485785948E-4</v>
      </c>
      <c r="S1766">
        <v>6.1750123631350885E-2</v>
      </c>
      <c r="T1766">
        <v>1.0184055910498431</v>
      </c>
      <c r="U1766">
        <v>0</v>
      </c>
      <c r="V1766">
        <v>9.8683169796049408E-2</v>
      </c>
      <c r="W1766">
        <v>3.5885391325649205E-2</v>
      </c>
      <c r="X1766">
        <v>7.5068943217754414E-3</v>
      </c>
      <c r="Y1766">
        <v>1.5944423870389959E-3</v>
      </c>
    </row>
    <row r="1767" spans="1:25" x14ac:dyDescent="0.25">
      <c r="A1767" s="1096"/>
      <c r="B1767" s="1455">
        <v>1517</v>
      </c>
      <c r="C1767" s="1100">
        <v>0.99959276261950314</v>
      </c>
      <c r="D1767" s="1100">
        <v>1.0327727167240353</v>
      </c>
      <c r="E1767" s="1100">
        <v>0.9707850190966979</v>
      </c>
      <c r="F1767" s="1100">
        <v>0.99963576090273121</v>
      </c>
      <c r="G1767" s="1100">
        <v>1.0087398720704561</v>
      </c>
      <c r="H1767" s="1100">
        <v>1.032185850445553</v>
      </c>
      <c r="I1767" s="1100">
        <v>0.98611317218283578</v>
      </c>
      <c r="K1767">
        <v>1.3148881565762207</v>
      </c>
      <c r="L1767">
        <v>0</v>
      </c>
      <c r="M1767">
        <v>6.5084951922889306E-4</v>
      </c>
      <c r="N1767">
        <v>5.4791910984434367E-2</v>
      </c>
      <c r="O1767">
        <v>7.658524345205025E-3</v>
      </c>
      <c r="P1767">
        <v>1.5885770372164432E-2</v>
      </c>
      <c r="Q1767">
        <v>4.304750450910143E-4</v>
      </c>
      <c r="R1767">
        <v>6.4898886143944785E-4</v>
      </c>
      <c r="S1767">
        <v>5.9658991990760295E-2</v>
      </c>
      <c r="T1767">
        <v>1.0328847815292921</v>
      </c>
      <c r="U1767">
        <v>0</v>
      </c>
      <c r="V1767">
        <v>9.8119709306079161E-2</v>
      </c>
      <c r="W1767">
        <v>3.6632426389249823E-2</v>
      </c>
      <c r="X1767">
        <v>7.06109353001528E-3</v>
      </c>
      <c r="Y1767">
        <v>1.7663337417175011E-3</v>
      </c>
    </row>
    <row r="1768" spans="1:25" x14ac:dyDescent="0.25">
      <c r="A1768" s="1096"/>
      <c r="B1768" s="1455">
        <v>1518</v>
      </c>
      <c r="C1768" s="1100">
        <v>0.96560975631961687</v>
      </c>
      <c r="D1768" s="1100">
        <v>1.0108702853971223</v>
      </c>
      <c r="E1768" s="1100">
        <v>1.0158904581685833</v>
      </c>
      <c r="F1768" s="1100">
        <v>0.98453997480015731</v>
      </c>
      <c r="G1768" s="1100">
        <v>0.98090222641520619</v>
      </c>
      <c r="H1768" s="1100">
        <v>0.99156644643464842</v>
      </c>
      <c r="I1768" s="1100">
        <v>1.0292261445703674</v>
      </c>
      <c r="K1768">
        <v>1.3063580845453924</v>
      </c>
      <c r="L1768">
        <v>0</v>
      </c>
      <c r="M1768">
        <v>5.9456439372549362E-4</v>
      </c>
      <c r="N1768">
        <v>5.7358197553017465E-2</v>
      </c>
      <c r="O1768">
        <v>8.0077269216473658E-3</v>
      </c>
      <c r="P1768">
        <v>1.6252356043814094E-2</v>
      </c>
      <c r="Q1768">
        <v>4.710599762440793E-4</v>
      </c>
      <c r="R1768">
        <v>5.9279501462399019E-4</v>
      </c>
      <c r="S1768">
        <v>6.3930835870719946E-2</v>
      </c>
      <c r="T1768">
        <v>1.0159562243320925</v>
      </c>
      <c r="U1768">
        <v>0</v>
      </c>
      <c r="V1768">
        <v>9.7695966255194347E-2</v>
      </c>
      <c r="W1768">
        <v>3.7328441825689292E-2</v>
      </c>
      <c r="X1768">
        <v>7.745652531091992E-3</v>
      </c>
      <c r="Y1768">
        <v>1.613392614982449E-3</v>
      </c>
    </row>
    <row r="1769" spans="1:25" x14ac:dyDescent="0.25">
      <c r="A1769" s="1096"/>
      <c r="B1769" s="1455">
        <v>1519</v>
      </c>
      <c r="C1769" s="1100">
        <v>1.0188960914551541</v>
      </c>
      <c r="D1769" s="1100">
        <v>1.0013560515463737</v>
      </c>
      <c r="E1769" s="1100">
        <v>1.0245987692737599</v>
      </c>
      <c r="F1769" s="1100">
        <v>1.0177333323660238</v>
      </c>
      <c r="G1769" s="1100">
        <v>0.9906773899287602</v>
      </c>
      <c r="H1769" s="1100">
        <v>0.99300102964362658</v>
      </c>
      <c r="I1769" s="1100">
        <v>1.0296900513624607</v>
      </c>
      <c r="K1769">
        <v>1.3327975293577525</v>
      </c>
      <c r="L1769">
        <v>0</v>
      </c>
      <c r="M1769">
        <v>5.5625251956853015E-4</v>
      </c>
      <c r="N1769">
        <v>5.5090872155847959E-2</v>
      </c>
      <c r="O1769">
        <v>7.6198016096657856E-3</v>
      </c>
      <c r="P1769">
        <v>1.6775513782333672E-2</v>
      </c>
      <c r="Q1769">
        <v>4.521368859811667E-4</v>
      </c>
      <c r="R1769">
        <v>5.5459954523292524E-4</v>
      </c>
      <c r="S1769">
        <v>6.0975971604709529E-2</v>
      </c>
      <c r="T1769">
        <v>1.0499502971590748</v>
      </c>
      <c r="U1769">
        <v>0</v>
      </c>
      <c r="V1769">
        <v>9.6836009619984662E-2</v>
      </c>
      <c r="W1769">
        <v>3.5670712184556613E-2</v>
      </c>
      <c r="X1769">
        <v>7.9184301914996796E-3</v>
      </c>
      <c r="Y1769">
        <v>1.5094371384330714E-3</v>
      </c>
    </row>
    <row r="1770" spans="1:25" x14ac:dyDescent="0.25">
      <c r="A1770" s="1096"/>
      <c r="B1770" s="1455">
        <v>1520</v>
      </c>
      <c r="C1770" s="1100">
        <v>0.99493493474502959</v>
      </c>
      <c r="D1770" s="1100">
        <v>0.98691762442515651</v>
      </c>
      <c r="E1770" s="1100">
        <v>1.0063326122490288</v>
      </c>
      <c r="F1770" s="1100">
        <v>0.98605107708681827</v>
      </c>
      <c r="G1770" s="1100">
        <v>1.0026919848110929</v>
      </c>
      <c r="H1770" s="1100">
        <v>0.9682978360076564</v>
      </c>
      <c r="I1770" s="1100">
        <v>0.98061926064027849</v>
      </c>
      <c r="K1770">
        <v>1.2984434692967766</v>
      </c>
      <c r="L1770">
        <v>0</v>
      </c>
      <c r="M1770">
        <v>5.8034176671247851E-4</v>
      </c>
      <c r="N1770">
        <v>5.4389952271653087E-2</v>
      </c>
      <c r="O1770">
        <v>7.8442346397162577E-3</v>
      </c>
      <c r="P1770">
        <v>1.6101825195417103E-2</v>
      </c>
      <c r="Q1770">
        <v>4.5705729431990089E-4</v>
      </c>
      <c r="R1770">
        <v>5.7857321124756955E-4</v>
      </c>
      <c r="S1770">
        <v>5.916908707872405E-2</v>
      </c>
      <c r="T1770">
        <v>1.0177929521482125</v>
      </c>
      <c r="U1770">
        <v>0</v>
      </c>
      <c r="V1770">
        <v>9.7982785569856568E-2</v>
      </c>
      <c r="W1770">
        <v>3.5596607276065749E-2</v>
      </c>
      <c r="X1770">
        <v>7.5360508238678271E-3</v>
      </c>
      <c r="Y1770">
        <v>1.5746855544080554E-3</v>
      </c>
    </row>
    <row r="1771" spans="1:25" x14ac:dyDescent="0.25">
      <c r="A1771" s="1096"/>
      <c r="B1771" s="1455">
        <v>1521</v>
      </c>
      <c r="C1771" s="1100">
        <v>0.97315076664108013</v>
      </c>
      <c r="D1771" s="1100">
        <v>0.98241437769880158</v>
      </c>
      <c r="E1771" s="1100">
        <v>1.0066482942323089</v>
      </c>
      <c r="F1771" s="1100">
        <v>1.016130881944691</v>
      </c>
      <c r="G1771" s="1100">
        <v>0.98173916930789762</v>
      </c>
      <c r="H1771" s="1100">
        <v>1.0085581729323521</v>
      </c>
      <c r="I1771" s="1100">
        <v>1.0262542671985044</v>
      </c>
      <c r="K1771">
        <v>1.3417251739331697</v>
      </c>
      <c r="L1771">
        <v>0</v>
      </c>
      <c r="M1771">
        <v>6.187285811450606E-4</v>
      </c>
      <c r="N1771">
        <v>5.8049973573833638E-2</v>
      </c>
      <c r="O1771">
        <v>8.0345941546086062E-3</v>
      </c>
      <c r="P1771">
        <v>1.660160904834088E-2</v>
      </c>
      <c r="Q1771">
        <v>4.6829694882089554E-4</v>
      </c>
      <c r="R1771">
        <v>6.169183124414818E-4</v>
      </c>
      <c r="S1771">
        <v>6.4771177107212322E-2</v>
      </c>
      <c r="T1771">
        <v>1.0488315672062991</v>
      </c>
      <c r="U1771">
        <v>0</v>
      </c>
      <c r="V1771">
        <v>9.7527117077131326E-2</v>
      </c>
      <c r="W1771">
        <v>3.7984891301220666E-2</v>
      </c>
      <c r="X1771">
        <v>7.7787095050079703E-3</v>
      </c>
      <c r="Y1771">
        <v>1.6790482793986733E-3</v>
      </c>
    </row>
    <row r="1772" spans="1:25" x14ac:dyDescent="0.25">
      <c r="A1772" s="1096"/>
      <c r="B1772" s="1455">
        <v>1522</v>
      </c>
      <c r="C1772" s="1100">
        <v>0.98828992181114983</v>
      </c>
      <c r="D1772" s="1100">
        <v>1.0107722294096921</v>
      </c>
      <c r="E1772" s="1100">
        <v>0.97618081746507157</v>
      </c>
      <c r="F1772" s="1100">
        <v>0.98355098385229489</v>
      </c>
      <c r="G1772" s="1100">
        <v>0.99517549473730671</v>
      </c>
      <c r="H1772" s="1100">
        <v>0.96785426181160206</v>
      </c>
      <c r="I1772" s="1100">
        <v>0.97909984188295962</v>
      </c>
      <c r="K1772">
        <v>1.2930214234320379</v>
      </c>
      <c r="L1772">
        <v>0</v>
      </c>
      <c r="M1772">
        <v>6.1570327004939246E-4</v>
      </c>
      <c r="N1772">
        <v>5.2676653663884389E-2</v>
      </c>
      <c r="O1772">
        <v>7.8144473428849379E-3</v>
      </c>
      <c r="P1772">
        <v>1.5708463379797734E-2</v>
      </c>
      <c r="Q1772">
        <v>4.4166359717816783E-4</v>
      </c>
      <c r="R1772">
        <v>6.1382609267177904E-4</v>
      </c>
      <c r="S1772">
        <v>5.8672624160013898E-2</v>
      </c>
      <c r="T1772">
        <v>1.016102832689336</v>
      </c>
      <c r="U1772">
        <v>0</v>
      </c>
      <c r="V1772">
        <v>9.7753023279448736E-2</v>
      </c>
      <c r="W1772">
        <v>3.5103070235400796E-2</v>
      </c>
      <c r="X1772">
        <v>7.0798899849331774E-3</v>
      </c>
      <c r="Y1772">
        <v>1.6706322765355156E-3</v>
      </c>
    </row>
    <row r="1773" spans="1:25" x14ac:dyDescent="0.25">
      <c r="A1773" s="1096"/>
      <c r="B1773" s="1455">
        <v>1523</v>
      </c>
      <c r="C1773" s="1100">
        <v>1.0088235347441734</v>
      </c>
      <c r="D1773" s="1100">
        <v>1.0116950938404063</v>
      </c>
      <c r="E1773" s="1100">
        <v>1.0351687056165082</v>
      </c>
      <c r="F1773" s="1100">
        <v>1.0277905025974698</v>
      </c>
      <c r="G1773" s="1100">
        <v>1.0027827220768568</v>
      </c>
      <c r="H1773" s="1100">
        <v>1.0183794589399622</v>
      </c>
      <c r="I1773" s="1100">
        <v>0.99698887489894705</v>
      </c>
      <c r="K1773">
        <v>1.3469442696014549</v>
      </c>
      <c r="L1773">
        <v>0</v>
      </c>
      <c r="M1773">
        <v>5.613023001513819E-4</v>
      </c>
      <c r="N1773">
        <v>5.7395143297314259E-2</v>
      </c>
      <c r="O1773">
        <v>7.6668964855636573E-3</v>
      </c>
      <c r="P1773">
        <v>1.704480040505681E-2</v>
      </c>
      <c r="Q1773">
        <v>4.5971083656974989E-4</v>
      </c>
      <c r="R1773">
        <v>5.5967588650569062E-4</v>
      </c>
      <c r="S1773">
        <v>6.0074038471487137E-2</v>
      </c>
      <c r="T1773">
        <v>1.0600121033412326</v>
      </c>
      <c r="U1773">
        <v>0</v>
      </c>
      <c r="V1773">
        <v>9.7676582656191641E-2</v>
      </c>
      <c r="W1773">
        <v>3.6935362954659823E-2</v>
      </c>
      <c r="X1773">
        <v>8.1580043010631136E-3</v>
      </c>
      <c r="Y1773">
        <v>1.5232532659620874E-3</v>
      </c>
    </row>
    <row r="1774" spans="1:25" x14ac:dyDescent="0.25">
      <c r="A1774" s="1096"/>
      <c r="B1774" s="1455">
        <v>1524</v>
      </c>
      <c r="C1774" s="1100">
        <v>1.043370954348591</v>
      </c>
      <c r="D1774" s="1100">
        <v>0.99877250707737397</v>
      </c>
      <c r="E1774" s="1100">
        <v>0.97283506667300867</v>
      </c>
      <c r="F1774" s="1100">
        <v>1.0120142052381624</v>
      </c>
      <c r="G1774" s="1100">
        <v>1.0042753219891578</v>
      </c>
      <c r="H1774" s="1100">
        <v>1.0010196436375629</v>
      </c>
      <c r="I1774" s="1100">
        <v>1.0235637919768945</v>
      </c>
      <c r="K1774">
        <v>1.320815503655858</v>
      </c>
      <c r="L1774">
        <v>0</v>
      </c>
      <c r="M1774">
        <v>6.1027606745919446E-4</v>
      </c>
      <c r="N1774">
        <v>5.1691468825707645E-2</v>
      </c>
      <c r="O1774">
        <v>7.4365719067812155E-3</v>
      </c>
      <c r="P1774">
        <v>1.6061405264887911E-2</v>
      </c>
      <c r="Q1774">
        <v>4.1887527522822343E-4</v>
      </c>
      <c r="R1774">
        <v>6.0847708239627845E-4</v>
      </c>
      <c r="S1774">
        <v>5.9464268400816443E-2</v>
      </c>
      <c r="T1774">
        <v>1.0456114443266267</v>
      </c>
      <c r="U1774">
        <v>0</v>
      </c>
      <c r="V1774">
        <v>9.6866213834165688E-2</v>
      </c>
      <c r="W1774">
        <v>3.4516520393287807E-2</v>
      </c>
      <c r="X1774">
        <v>7.0944603795505268E-3</v>
      </c>
      <c r="Y1774">
        <v>1.6560740338663661E-3</v>
      </c>
    </row>
    <row r="1775" spans="1:25" x14ac:dyDescent="0.25">
      <c r="A1775" s="1096"/>
      <c r="B1775" s="1455">
        <v>1525</v>
      </c>
      <c r="C1775" s="1100">
        <v>1.0189915785550476</v>
      </c>
      <c r="D1775" s="1100">
        <v>1.003245935990146</v>
      </c>
      <c r="E1775" s="1100">
        <v>0.95954640478845332</v>
      </c>
      <c r="F1775" s="1100">
        <v>0.98497128406819101</v>
      </c>
      <c r="G1775" s="1100">
        <v>0.97566205299106956</v>
      </c>
      <c r="H1775" s="1100">
        <v>0.97514674946557978</v>
      </c>
      <c r="I1775" s="1100">
        <v>1.0318773861371009</v>
      </c>
      <c r="K1775">
        <v>1.2916030487734698</v>
      </c>
      <c r="L1775">
        <v>0</v>
      </c>
      <c r="M1775">
        <v>6.2452892409267831E-4</v>
      </c>
      <c r="N1775">
        <v>5.0807941288579753E-2</v>
      </c>
      <c r="O1775">
        <v>7.5977132166867925E-3</v>
      </c>
      <c r="P1775">
        <v>1.5535522887826397E-2</v>
      </c>
      <c r="Q1775">
        <v>4.2216640008376464E-4</v>
      </c>
      <c r="R1775">
        <v>6.2263907817098848E-4</v>
      </c>
      <c r="S1775">
        <v>6.0423044146749157E-2</v>
      </c>
      <c r="T1775">
        <v>1.0180735853029352</v>
      </c>
      <c r="U1775">
        <v>0</v>
      </c>
      <c r="V1775">
        <v>9.6035850756763699E-2</v>
      </c>
      <c r="W1775">
        <v>3.4202900696678813E-2</v>
      </c>
      <c r="X1775">
        <v>6.8115956052240178E-3</v>
      </c>
      <c r="Y1775">
        <v>1.6946183178644747E-3</v>
      </c>
    </row>
    <row r="1776" spans="1:25" x14ac:dyDescent="0.25">
      <c r="A1776" s="1096"/>
      <c r="B1776" s="1455">
        <v>1526</v>
      </c>
      <c r="C1776" s="1100">
        <v>1.0076726921778709</v>
      </c>
      <c r="D1776" s="1100">
        <v>1.0096227228578436</v>
      </c>
      <c r="E1776" s="1100">
        <v>0.99950694138947849</v>
      </c>
      <c r="F1776" s="1100">
        <v>1.0127749610795926</v>
      </c>
      <c r="G1776" s="1100">
        <v>0.98729812458463106</v>
      </c>
      <c r="H1776" s="1100">
        <v>0.9838285335665502</v>
      </c>
      <c r="I1776" s="1100">
        <v>1.0158153545474915</v>
      </c>
      <c r="K1776">
        <v>1.3254113040570663</v>
      </c>
      <c r="L1776">
        <v>0</v>
      </c>
      <c r="M1776">
        <v>5.8515367659350576E-4</v>
      </c>
      <c r="N1776">
        <v>5.3724418168345354E-2</v>
      </c>
      <c r="O1776">
        <v>7.6732738735537428E-3</v>
      </c>
      <c r="P1776">
        <v>1.6399324426320899E-2</v>
      </c>
      <c r="Q1776">
        <v>4.4404386103269092E-4</v>
      </c>
      <c r="R1776">
        <v>5.8339860699906077E-4</v>
      </c>
      <c r="S1776">
        <v>6.0250754672271679E-2</v>
      </c>
      <c r="T1776">
        <v>1.045582263201241</v>
      </c>
      <c r="U1776">
        <v>0</v>
      </c>
      <c r="V1776">
        <v>9.691556864812774E-2</v>
      </c>
      <c r="W1776">
        <v>3.5303636721787164E-2</v>
      </c>
      <c r="X1776">
        <v>7.5319568630289099E-3</v>
      </c>
      <c r="Y1776">
        <v>1.5878186909523322E-3</v>
      </c>
    </row>
    <row r="1777" spans="1:25" x14ac:dyDescent="0.25">
      <c r="A1777" s="1096"/>
      <c r="B1777" s="1455">
        <v>1527</v>
      </c>
      <c r="C1777" s="1100">
        <v>0.98767438468405211</v>
      </c>
      <c r="D1777" s="1100">
        <v>0.98647092470817976</v>
      </c>
      <c r="E1777" s="1100">
        <v>1.0348221051626745</v>
      </c>
      <c r="F1777" s="1100">
        <v>1.0069160476805026</v>
      </c>
      <c r="G1777" s="1100">
        <v>1.0093055350766755</v>
      </c>
      <c r="H1777" s="1100">
        <v>0.95625225934452884</v>
      </c>
      <c r="I1777" s="1100">
        <v>0.98188385715754245</v>
      </c>
      <c r="K1777">
        <v>1.3223923821084318</v>
      </c>
      <c r="L1777">
        <v>0</v>
      </c>
      <c r="M1777">
        <v>5.4420323424660849E-4</v>
      </c>
      <c r="N1777">
        <v>5.5578117257911563E-2</v>
      </c>
      <c r="O1777">
        <v>7.9104716090061724E-3</v>
      </c>
      <c r="P1777">
        <v>1.67411452265387E-2</v>
      </c>
      <c r="Q1777">
        <v>4.7415365225617225E-4</v>
      </c>
      <c r="R1777">
        <v>5.425239181044842E-4</v>
      </c>
      <c r="S1777">
        <v>5.9355122410790995E-2</v>
      </c>
      <c r="T1777">
        <v>1.0384932527767994</v>
      </c>
      <c r="U1777">
        <v>0</v>
      </c>
      <c r="V1777">
        <v>9.8518151442992682E-2</v>
      </c>
      <c r="W1777">
        <v>3.5773224884613444E-2</v>
      </c>
      <c r="X1777">
        <v>8.0738509015457309E-3</v>
      </c>
      <c r="Y1777">
        <v>1.4765712621188679E-3</v>
      </c>
    </row>
    <row r="1778" spans="1:25" x14ac:dyDescent="0.25">
      <c r="A1778" s="1096"/>
      <c r="B1778" s="1455">
        <v>1528</v>
      </c>
      <c r="C1778" s="1100">
        <v>0.99883255694729423</v>
      </c>
      <c r="D1778" s="1100">
        <v>1.0023414369972921</v>
      </c>
      <c r="E1778" s="1100">
        <v>1.0331038642114856</v>
      </c>
      <c r="F1778" s="1100">
        <v>1.0109830798601041</v>
      </c>
      <c r="G1778" s="1100">
        <v>1.0054729754688803</v>
      </c>
      <c r="H1778" s="1100">
        <v>0.95228114407982456</v>
      </c>
      <c r="I1778" s="1100">
        <v>0.98770718310946781</v>
      </c>
      <c r="K1778">
        <v>1.3229393723821334</v>
      </c>
      <c r="L1778">
        <v>0</v>
      </c>
      <c r="M1778">
        <v>5.3438990944690745E-4</v>
      </c>
      <c r="N1778">
        <v>5.4293328359710215E-2</v>
      </c>
      <c r="O1778">
        <v>7.7719003681556509E-3</v>
      </c>
      <c r="P1778">
        <v>1.675992740930024E-2</v>
      </c>
      <c r="Q1778">
        <v>4.6505869062533705E-4</v>
      </c>
      <c r="R1778">
        <v>5.3273399886164278E-4</v>
      </c>
      <c r="S1778">
        <v>5.8412395187994168E-2</v>
      </c>
      <c r="T1778">
        <v>1.042737784974447</v>
      </c>
      <c r="U1778">
        <v>0</v>
      </c>
      <c r="V1778">
        <v>9.8050285879483515E-2</v>
      </c>
      <c r="W1778">
        <v>3.4981026372882897E-2</v>
      </c>
      <c r="X1778">
        <v>8.0193947209343461E-3</v>
      </c>
      <c r="Y1778">
        <v>1.4499263291858646E-3</v>
      </c>
    </row>
    <row r="1779" spans="1:25" x14ac:dyDescent="0.25">
      <c r="A1779" s="1096"/>
      <c r="B1779" s="1455">
        <v>1529</v>
      </c>
      <c r="C1779" s="1100">
        <v>1.0262711629731984</v>
      </c>
      <c r="D1779" s="1100">
        <v>1.01983038301155</v>
      </c>
      <c r="E1779" s="1100">
        <v>0.97708603426593355</v>
      </c>
      <c r="F1779" s="1100">
        <v>1.040051262396001</v>
      </c>
      <c r="G1779" s="1100">
        <v>0.96299774651413284</v>
      </c>
      <c r="H1779" s="1100">
        <v>1.0139499899131197</v>
      </c>
      <c r="I1779" s="1100">
        <v>1.0108541802695346</v>
      </c>
      <c r="K1779">
        <v>1.3508277961384152</v>
      </c>
      <c r="L1779">
        <v>0</v>
      </c>
      <c r="M1779">
        <v>6.1778582528588177E-4</v>
      </c>
      <c r="N1779">
        <v>5.3007193034049299E-2</v>
      </c>
      <c r="O1779">
        <v>7.4986493713070316E-3</v>
      </c>
      <c r="P1779">
        <v>1.6478243828883486E-2</v>
      </c>
      <c r="Q1779">
        <v>4.2420590524368918E-4</v>
      </c>
      <c r="R1779">
        <v>6.1598792656854576E-4</v>
      </c>
      <c r="S1779">
        <v>5.9430158089474293E-2</v>
      </c>
      <c r="T1779">
        <v>1.0744443778463229</v>
      </c>
      <c r="U1779">
        <v>0</v>
      </c>
      <c r="V1779">
        <v>9.5269886389986846E-2</v>
      </c>
      <c r="W1779">
        <v>3.5303983857803804E-2</v>
      </c>
      <c r="X1779">
        <v>7.2963796383071957E-3</v>
      </c>
      <c r="Y1779">
        <v>1.6765160757541623E-3</v>
      </c>
    </row>
    <row r="1780" spans="1:25" x14ac:dyDescent="0.25">
      <c r="A1780" s="1096"/>
      <c r="B1780" s="1455">
        <v>1530</v>
      </c>
      <c r="C1780" s="1100">
        <v>0.9960779396641456</v>
      </c>
      <c r="D1780" s="1100">
        <v>1.0285126054904559</v>
      </c>
      <c r="E1780" s="1100">
        <v>0.97334195361991394</v>
      </c>
      <c r="F1780" s="1100">
        <v>0.97479311655129519</v>
      </c>
      <c r="G1780" s="1100">
        <v>1.0101338476819108</v>
      </c>
      <c r="H1780" s="1100">
        <v>1.0007087701991566</v>
      </c>
      <c r="I1780" s="1100">
        <v>0.99606281795661467</v>
      </c>
      <c r="K1780">
        <v>1.286731416534922</v>
      </c>
      <c r="L1780">
        <v>0</v>
      </c>
      <c r="M1780">
        <v>6.3093548829598535E-4</v>
      </c>
      <c r="N1780">
        <v>5.3523375290189218E-2</v>
      </c>
      <c r="O1780">
        <v>7.6988866219506779E-3</v>
      </c>
      <c r="P1780">
        <v>1.557486143153851E-2</v>
      </c>
      <c r="Q1780">
        <v>4.3387485297819762E-4</v>
      </c>
      <c r="R1780">
        <v>6.2907502516361847E-4</v>
      </c>
      <c r="S1780">
        <v>5.9659529163710437E-2</v>
      </c>
      <c r="T1780">
        <v>1.0071395705682225</v>
      </c>
      <c r="U1780">
        <v>0</v>
      </c>
      <c r="V1780">
        <v>9.8277410146725058E-2</v>
      </c>
      <c r="W1780">
        <v>3.5728762392410227E-2</v>
      </c>
      <c r="X1780">
        <v>6.9848716863612111E-3</v>
      </c>
      <c r="Y1780">
        <v>1.712134843969058E-3</v>
      </c>
    </row>
    <row r="1781" spans="1:25" x14ac:dyDescent="0.25">
      <c r="A1781" s="1096"/>
      <c r="B1781" s="1455">
        <v>1531</v>
      </c>
      <c r="C1781" s="1100">
        <v>1.010591965214221</v>
      </c>
      <c r="D1781" s="1100">
        <v>1.0158332336827731</v>
      </c>
      <c r="E1781" s="1100">
        <v>1.0305570555777315</v>
      </c>
      <c r="F1781" s="1100">
        <v>0.99475253051874946</v>
      </c>
      <c r="G1781" s="1100">
        <v>0.99245009552253727</v>
      </c>
      <c r="H1781" s="1100">
        <v>1.0052611384633157</v>
      </c>
      <c r="I1781" s="1100">
        <v>1.0400043414621549</v>
      </c>
      <c r="K1781">
        <v>1.3117552765942215</v>
      </c>
      <c r="L1781">
        <v>0</v>
      </c>
      <c r="M1781">
        <v>5.5753422940709807E-4</v>
      </c>
      <c r="N1781">
        <v>5.6220800600986713E-2</v>
      </c>
      <c r="O1781">
        <v>7.6398752730537619E-3</v>
      </c>
      <c r="P1781">
        <v>1.6533783310608698E-2</v>
      </c>
      <c r="Q1781">
        <v>4.560099782385634E-4</v>
      </c>
      <c r="R1781">
        <v>5.5589765234379841E-4</v>
      </c>
      <c r="S1781">
        <v>6.2005399897775405E-2</v>
      </c>
      <c r="T1781">
        <v>1.026070455621376</v>
      </c>
      <c r="U1781">
        <v>0</v>
      </c>
      <c r="V1781">
        <v>9.7128409398773263E-2</v>
      </c>
      <c r="W1781">
        <v>3.6276404021357574E-2</v>
      </c>
      <c r="X1781">
        <v>7.9128049110467266E-3</v>
      </c>
      <c r="Y1781">
        <v>1.5129701580679747E-3</v>
      </c>
    </row>
    <row r="1782" spans="1:25" x14ac:dyDescent="0.25">
      <c r="A1782" s="1096"/>
      <c r="B1782" s="1455">
        <v>1532</v>
      </c>
      <c r="C1782" s="1100">
        <v>0.97788819300855756</v>
      </c>
      <c r="D1782" s="1100">
        <v>1.003301374739316</v>
      </c>
      <c r="E1782" s="1100">
        <v>1.0026558449453953</v>
      </c>
      <c r="F1782" s="1100">
        <v>0.98974737298286175</v>
      </c>
      <c r="G1782" s="1100">
        <v>0.97436088685502076</v>
      </c>
      <c r="H1782" s="1100">
        <v>1.0177383628253378</v>
      </c>
      <c r="I1782" s="1100">
        <v>1.0249414205841227</v>
      </c>
      <c r="K1782">
        <v>1.3118596199018702</v>
      </c>
      <c r="L1782">
        <v>0</v>
      </c>
      <c r="M1782">
        <v>6.2125635384254721E-4</v>
      </c>
      <c r="N1782">
        <v>5.7590055191104689E-2</v>
      </c>
      <c r="O1782">
        <v>7.9276656426544353E-3</v>
      </c>
      <c r="P1782">
        <v>1.6163919180580577E-2</v>
      </c>
      <c r="Q1782">
        <v>4.6021874968472915E-4</v>
      </c>
      <c r="R1782">
        <v>6.1945508508401024E-4</v>
      </c>
      <c r="S1782">
        <v>6.394247161011514E-2</v>
      </c>
      <c r="T1782">
        <v>1.0217160654219235</v>
      </c>
      <c r="U1782">
        <v>0</v>
      </c>
      <c r="V1782">
        <v>9.7042308810958655E-2</v>
      </c>
      <c r="W1782">
        <v>3.7773142328685484E-2</v>
      </c>
      <c r="X1782">
        <v>7.5596216966370474E-3</v>
      </c>
      <c r="Y1782">
        <v>1.6859525382847585E-3</v>
      </c>
    </row>
    <row r="1783" spans="1:25" x14ac:dyDescent="0.25">
      <c r="A1783" s="1096"/>
      <c r="B1783" s="1455">
        <v>1533</v>
      </c>
      <c r="C1783" s="1100">
        <v>1.0233501746230445</v>
      </c>
      <c r="D1783" s="1100">
        <v>1.022327713966924</v>
      </c>
      <c r="E1783" s="1100">
        <v>1.0094504727650935</v>
      </c>
      <c r="F1783" s="1100">
        <v>1.0104665404661666</v>
      </c>
      <c r="G1783" s="1100">
        <v>1.0312800094193513</v>
      </c>
      <c r="H1783" s="1100">
        <v>0.98617655144525074</v>
      </c>
      <c r="I1783" s="1100">
        <v>1.0242486021282653</v>
      </c>
      <c r="K1783">
        <v>1.3227509829145379</v>
      </c>
      <c r="L1783">
        <v>0</v>
      </c>
      <c r="M1783">
        <v>5.629425564637377E-4</v>
      </c>
      <c r="N1783">
        <v>5.3261275652181916E-2</v>
      </c>
      <c r="O1783">
        <v>7.5203865033356696E-3</v>
      </c>
      <c r="P1783">
        <v>1.6498026098127283E-2</v>
      </c>
      <c r="Q1783">
        <v>4.3955718874291223E-4</v>
      </c>
      <c r="R1783">
        <v>5.6125812545646187E-4</v>
      </c>
      <c r="S1783">
        <v>5.9500567463912205E-2</v>
      </c>
      <c r="T1783">
        <v>1.0429013365798288</v>
      </c>
      <c r="U1783">
        <v>0</v>
      </c>
      <c r="V1783">
        <v>9.8677618761123978E-2</v>
      </c>
      <c r="W1783">
        <v>3.4793787189313655E-2</v>
      </c>
      <c r="X1783">
        <v>7.6325523101779371E-3</v>
      </c>
      <c r="Y1783">
        <v>1.5275595988011575E-3</v>
      </c>
    </row>
    <row r="1784" spans="1:25" x14ac:dyDescent="0.25">
      <c r="A1784" s="1096"/>
      <c r="B1784" s="1455">
        <v>1534</v>
      </c>
      <c r="C1784" s="1100">
        <v>0.99164704815435667</v>
      </c>
      <c r="D1784" s="1100">
        <v>1.0128279545387591</v>
      </c>
      <c r="E1784" s="1100">
        <v>1.0202412726921948</v>
      </c>
      <c r="F1784" s="1100">
        <v>0.95729706161978723</v>
      </c>
      <c r="G1784" s="1100">
        <v>1.0250072396949252</v>
      </c>
      <c r="H1784" s="1100">
        <v>0.97397372929344606</v>
      </c>
      <c r="I1784" s="1100">
        <v>0.99897557058561626</v>
      </c>
      <c r="K1784">
        <v>1.27072856527606</v>
      </c>
      <c r="L1784">
        <v>0</v>
      </c>
      <c r="M1784">
        <v>5.6312188229364611E-4</v>
      </c>
      <c r="N1784">
        <v>5.5039783036363796E-2</v>
      </c>
      <c r="O1784">
        <v>7.7925135296521893E-3</v>
      </c>
      <c r="P1784">
        <v>1.587688251075255E-2</v>
      </c>
      <c r="Q1784">
        <v>4.6038905245650286E-4</v>
      </c>
      <c r="R1784">
        <v>5.6141580391441323E-4</v>
      </c>
      <c r="S1784">
        <v>5.982549780323225E-2</v>
      </c>
      <c r="T1784">
        <v>0.9877222651288321</v>
      </c>
      <c r="U1784">
        <v>0</v>
      </c>
      <c r="V1784">
        <v>9.9160732428113962E-2</v>
      </c>
      <c r="W1784">
        <v>3.5728428810131607E-2</v>
      </c>
      <c r="X1784">
        <v>7.595790307317247E-3</v>
      </c>
      <c r="Y1784">
        <v>1.5279887475850118E-3</v>
      </c>
    </row>
    <row r="1785" spans="1:25" x14ac:dyDescent="0.25">
      <c r="A1785" s="1096"/>
      <c r="B1785" s="1455">
        <v>1535</v>
      </c>
      <c r="C1785" s="1100">
        <v>0.99561014094378397</v>
      </c>
      <c r="D1785" s="1100">
        <v>0.96537068531273629</v>
      </c>
      <c r="E1785" s="1100">
        <v>0.98040783045780433</v>
      </c>
      <c r="F1785" s="1100">
        <v>0.99866426247407825</v>
      </c>
      <c r="G1785" s="1100">
        <v>1.004866990303996</v>
      </c>
      <c r="H1785" s="1100">
        <v>1.0448538331758053</v>
      </c>
      <c r="I1785" s="1100">
        <v>1.0413050784313225</v>
      </c>
      <c r="K1785">
        <v>1.325254499057847</v>
      </c>
      <c r="L1785">
        <v>0</v>
      </c>
      <c r="M1785">
        <v>6.6619416912764413E-4</v>
      </c>
      <c r="N1785">
        <v>5.7743156230019327E-2</v>
      </c>
      <c r="O1785">
        <v>7.9019612511179275E-3</v>
      </c>
      <c r="P1785">
        <v>1.6069491979830267E-2</v>
      </c>
      <c r="Q1785">
        <v>4.4853452324568278E-4</v>
      </c>
      <c r="R1785">
        <v>6.6431273461989846E-4</v>
      </c>
      <c r="S1785">
        <v>6.599239920986448E-2</v>
      </c>
      <c r="T1785">
        <v>1.0315879159648624</v>
      </c>
      <c r="U1785">
        <v>0</v>
      </c>
      <c r="V1785">
        <v>9.8042178842853558E-2</v>
      </c>
      <c r="W1785">
        <v>3.8381104032934196E-2</v>
      </c>
      <c r="X1785">
        <v>7.281598184625664E-3</v>
      </c>
      <c r="Y1785">
        <v>1.8080402730012515E-3</v>
      </c>
    </row>
    <row r="1786" spans="1:25" x14ac:dyDescent="0.25">
      <c r="A1786" s="1096"/>
      <c r="B1786" s="1455">
        <v>1536</v>
      </c>
      <c r="C1786" s="1100">
        <v>0.9980397164472179</v>
      </c>
      <c r="D1786" s="1100">
        <v>1.0125072245475646</v>
      </c>
      <c r="E1786" s="1100">
        <v>0.98058670906765788</v>
      </c>
      <c r="F1786" s="1100">
        <v>0.98320872168726337</v>
      </c>
      <c r="G1786" s="1100">
        <v>0.97808492412051318</v>
      </c>
      <c r="H1786" s="1100">
        <v>1.0333740058712719</v>
      </c>
      <c r="I1786" s="1100">
        <v>0.96566253812646885</v>
      </c>
      <c r="K1786">
        <v>1.2973379794325781</v>
      </c>
      <c r="L1786">
        <v>0</v>
      </c>
      <c r="M1786">
        <v>6.4461743367604386E-4</v>
      </c>
      <c r="N1786">
        <v>5.5901455645715449E-2</v>
      </c>
      <c r="O1786">
        <v>7.7338763488790461E-3</v>
      </c>
      <c r="P1786">
        <v>1.5747145768451491E-2</v>
      </c>
      <c r="Q1786">
        <v>4.3907341514153454E-4</v>
      </c>
      <c r="R1786">
        <v>6.4277671112766388E-4</v>
      </c>
      <c r="S1786">
        <v>5.9178824622223944E-2</v>
      </c>
      <c r="T1786">
        <v>1.0156175042756126</v>
      </c>
      <c r="U1786">
        <v>0</v>
      </c>
      <c r="V1786">
        <v>9.6686332386968263E-2</v>
      </c>
      <c r="W1786">
        <v>3.7152938710085681E-2</v>
      </c>
      <c r="X1786">
        <v>7.133242665645351E-3</v>
      </c>
      <c r="Y1786">
        <v>1.7494263164036248E-3</v>
      </c>
    </row>
    <row r="1787" spans="1:25" x14ac:dyDescent="0.25">
      <c r="A1787" s="1096"/>
      <c r="B1787" s="1455">
        <v>1537</v>
      </c>
      <c r="C1787" s="1100">
        <v>1.0212840467323667</v>
      </c>
      <c r="D1787" s="1100">
        <v>0.97536226183152352</v>
      </c>
      <c r="E1787" s="1100">
        <v>0.97954080657276199</v>
      </c>
      <c r="F1787" s="1100">
        <v>1.0002865333997535</v>
      </c>
      <c r="G1787" s="1100">
        <v>1.016063423415442</v>
      </c>
      <c r="H1787" s="1100">
        <v>0.99547045631093811</v>
      </c>
      <c r="I1787" s="1100">
        <v>1.0062427326343593</v>
      </c>
      <c r="K1787">
        <v>1.3133920029121724</v>
      </c>
      <c r="L1787">
        <v>0</v>
      </c>
      <c r="M1787">
        <v>6.1731424362981055E-4</v>
      </c>
      <c r="N1787">
        <v>5.33587530903369E-2</v>
      </c>
      <c r="O1787">
        <v>7.6714426944496121E-3</v>
      </c>
      <c r="P1787">
        <v>1.6004470177230404E-2</v>
      </c>
      <c r="Q1787">
        <v>4.3506615706087913E-4</v>
      </c>
      <c r="R1787">
        <v>6.1548436729480516E-4</v>
      </c>
      <c r="S1787">
        <v>6.0325218601293792E-2</v>
      </c>
      <c r="T1787">
        <v>1.0332900028637473</v>
      </c>
      <c r="U1787">
        <v>0</v>
      </c>
      <c r="V1787">
        <v>9.7957238021647922E-2</v>
      </c>
      <c r="W1787">
        <v>3.5485423051062025E-2</v>
      </c>
      <c r="X1787">
        <v>7.1910725782684173E-3</v>
      </c>
      <c r="Y1787">
        <v>1.6751455534093098E-3</v>
      </c>
    </row>
    <row r="1788" spans="1:25" x14ac:dyDescent="0.25">
      <c r="A1788" s="1096"/>
      <c r="B1788" s="1455">
        <v>1538</v>
      </c>
      <c r="C1788" s="1100">
        <v>0.98300685929730314</v>
      </c>
      <c r="D1788" s="1100">
        <v>1.018416971250985</v>
      </c>
      <c r="E1788" s="1100">
        <v>0.98992645037350058</v>
      </c>
      <c r="F1788" s="1100">
        <v>0.99978481012781695</v>
      </c>
      <c r="G1788" s="1100">
        <v>1.0049589131205416</v>
      </c>
      <c r="H1788" s="1100">
        <v>1.0104602062309254</v>
      </c>
      <c r="I1788" s="1100">
        <v>1.0250976786291885</v>
      </c>
      <c r="K1788">
        <v>1.3200199497441651</v>
      </c>
      <c r="L1788">
        <v>0</v>
      </c>
      <c r="M1788">
        <v>6.2625275263358024E-4</v>
      </c>
      <c r="N1788">
        <v>5.5861224045235545E-2</v>
      </c>
      <c r="O1788">
        <v>7.8362004698933931E-3</v>
      </c>
      <c r="P1788">
        <v>1.6159568244048725E-2</v>
      </c>
      <c r="Q1788">
        <v>4.4911353274378714E-4</v>
      </c>
      <c r="R1788">
        <v>6.2442391878465646E-4</v>
      </c>
      <c r="S1788">
        <v>6.2869470239450179E-2</v>
      </c>
      <c r="T1788">
        <v>1.0324579283364954</v>
      </c>
      <c r="U1788">
        <v>0</v>
      </c>
      <c r="V1788">
        <v>9.8376308661632828E-2</v>
      </c>
      <c r="W1788">
        <v>3.6918278899876922E-2</v>
      </c>
      <c r="X1788">
        <v>7.3942100829950145E-3</v>
      </c>
      <c r="Y1788">
        <v>1.6994760656423285E-3</v>
      </c>
    </row>
    <row r="1789" spans="1:25" x14ac:dyDescent="0.25">
      <c r="A1789" s="1096"/>
      <c r="B1789" s="1455">
        <v>1539</v>
      </c>
      <c r="C1789" s="1100">
        <v>1.0124861582535931</v>
      </c>
      <c r="D1789" s="1100">
        <v>1.0262481447843024</v>
      </c>
      <c r="E1789" s="1100">
        <v>1.0144573541573974</v>
      </c>
      <c r="F1789" s="1100">
        <v>1.0082388624306331</v>
      </c>
      <c r="G1789" s="1100">
        <v>1.0050280840609385</v>
      </c>
      <c r="H1789" s="1100">
        <v>0.98736287480322993</v>
      </c>
      <c r="I1789" s="1100">
        <v>1.0042497661826091</v>
      </c>
      <c r="K1789">
        <v>1.3200683382431289</v>
      </c>
      <c r="L1789">
        <v>0</v>
      </c>
      <c r="M1789">
        <v>5.6290832815729657E-4</v>
      </c>
      <c r="N1789">
        <v>5.4069266120530007E-2</v>
      </c>
      <c r="O1789">
        <v>7.5906558824333269E-3</v>
      </c>
      <c r="P1789">
        <v>1.6503010550762434E-2</v>
      </c>
      <c r="Q1789">
        <v>4.4588808095514468E-4</v>
      </c>
      <c r="R1789">
        <v>5.6122602330012177E-4</v>
      </c>
      <c r="S1789">
        <v>5.888412274904558E-2</v>
      </c>
      <c r="T1789">
        <v>1.0404536894280056</v>
      </c>
      <c r="U1789">
        <v>0</v>
      </c>
      <c r="V1789">
        <v>9.7673043547282151E-2</v>
      </c>
      <c r="W1789">
        <v>3.5217648713265437E-2</v>
      </c>
      <c r="X1789">
        <v>7.7052232483913862E-3</v>
      </c>
      <c r="Y1789">
        <v>1.5274722273140723E-3</v>
      </c>
    </row>
    <row r="1790" spans="1:25" x14ac:dyDescent="0.25">
      <c r="A1790" s="1096"/>
      <c r="B1790" s="1455">
        <v>1540</v>
      </c>
      <c r="C1790" s="1100">
        <v>0.97392375373638118</v>
      </c>
      <c r="D1790" s="1100">
        <v>1.016684276104473</v>
      </c>
      <c r="E1790" s="1100">
        <v>1.0362214398291165</v>
      </c>
      <c r="F1790" s="1100">
        <v>1.0189086226167676</v>
      </c>
      <c r="G1790" s="1100">
        <v>0.98362235192583625</v>
      </c>
      <c r="H1790" s="1100">
        <v>0.99106989755692776</v>
      </c>
      <c r="I1790" s="1100">
        <v>1.0101400833742313</v>
      </c>
      <c r="K1790">
        <v>1.3405215222152067</v>
      </c>
      <c r="L1790">
        <v>0</v>
      </c>
      <c r="M1790">
        <v>5.6347368341204483E-4</v>
      </c>
      <c r="N1790">
        <v>5.779561103078041E-2</v>
      </c>
      <c r="O1790">
        <v>7.926286778535796E-3</v>
      </c>
      <c r="P1790">
        <v>1.695572631577286E-2</v>
      </c>
      <c r="Q1790">
        <v>4.7575738800968882E-4</v>
      </c>
      <c r="R1790">
        <v>5.6179598779239912E-4</v>
      </c>
      <c r="S1790">
        <v>6.2023319015538925E-2</v>
      </c>
      <c r="T1790">
        <v>1.0508209805592823</v>
      </c>
      <c r="U1790">
        <v>0</v>
      </c>
      <c r="V1790">
        <v>9.7631449450954172E-2</v>
      </c>
      <c r="W1790">
        <v>3.7170454992887236E-2</v>
      </c>
      <c r="X1790">
        <v>8.19459089628931E-3</v>
      </c>
      <c r="Y1790">
        <v>1.5290234827733072E-3</v>
      </c>
    </row>
    <row r="1791" spans="1:25" x14ac:dyDescent="0.25">
      <c r="A1791" s="1096"/>
      <c r="B1791" s="1455">
        <v>1541</v>
      </c>
      <c r="C1791" s="1100">
        <v>0.99626137452423769</v>
      </c>
      <c r="D1791" s="1100">
        <v>0.97351248759682452</v>
      </c>
      <c r="E1791" s="1100">
        <v>1.027456754744545</v>
      </c>
      <c r="F1791" s="1100">
        <v>1.0218200299888929</v>
      </c>
      <c r="G1791" s="1100">
        <v>0.97461483700950702</v>
      </c>
      <c r="H1791" s="1100">
        <v>0.98546457091866824</v>
      </c>
      <c r="I1791" s="1100">
        <v>0.99641870292532664</v>
      </c>
      <c r="K1791">
        <v>1.3398879449346832</v>
      </c>
      <c r="L1791">
        <v>0</v>
      </c>
      <c r="M1791">
        <v>5.6758882860453389E-4</v>
      </c>
      <c r="N1791">
        <v>5.6698869007308701E-2</v>
      </c>
      <c r="O1791">
        <v>7.8820365357963867E-3</v>
      </c>
      <c r="P1791">
        <v>1.6865779813048709E-2</v>
      </c>
      <c r="Q1791">
        <v>4.6902346791164058E-4</v>
      </c>
      <c r="R1791">
        <v>5.6588926805328441E-4</v>
      </c>
      <c r="S1791">
        <v>6.1037520502061467E-2</v>
      </c>
      <c r="T1791">
        <v>1.0540816931397419</v>
      </c>
      <c r="U1791">
        <v>0</v>
      </c>
      <c r="V1791">
        <v>9.6614864185127505E-2</v>
      </c>
      <c r="W1791">
        <v>3.6650827752086501E-2</v>
      </c>
      <c r="X1791">
        <v>8.0488660498555312E-3</v>
      </c>
      <c r="Y1791">
        <v>1.5401640422939614E-3</v>
      </c>
    </row>
    <row r="1792" spans="1:25" x14ac:dyDescent="0.25">
      <c r="A1792" s="1096"/>
      <c r="B1792" s="1455">
        <v>1542</v>
      </c>
      <c r="C1792" s="1100">
        <v>1.013223699178436</v>
      </c>
      <c r="D1792" s="1100">
        <v>0.97169940994689941</v>
      </c>
      <c r="E1792" s="1100">
        <v>1.0072140813288442</v>
      </c>
      <c r="F1792" s="1100">
        <v>0.98954978946789107</v>
      </c>
      <c r="G1792" s="1100">
        <v>0.99760330991378732</v>
      </c>
      <c r="H1792" s="1100">
        <v>0.98499672004360483</v>
      </c>
      <c r="I1792" s="1100">
        <v>1.0167247325640283</v>
      </c>
      <c r="K1792">
        <v>1.3039587185846699</v>
      </c>
      <c r="L1792">
        <v>0</v>
      </c>
      <c r="M1792">
        <v>5.8224218311127545E-4</v>
      </c>
      <c r="N1792">
        <v>5.4716337562277555E-2</v>
      </c>
      <c r="O1792">
        <v>7.7508908335294415E-3</v>
      </c>
      <c r="P1792">
        <v>1.6180751881206774E-2</v>
      </c>
      <c r="Q1792">
        <v>4.5201729279102632E-4</v>
      </c>
      <c r="R1792">
        <v>5.8049791717059665E-4</v>
      </c>
      <c r="S1792">
        <v>6.1265664378925132E-2</v>
      </c>
      <c r="T1792">
        <v>1.0213785042884109</v>
      </c>
      <c r="U1792">
        <v>0</v>
      </c>
      <c r="V1792">
        <v>9.7287925734566169E-2</v>
      </c>
      <c r="W1792">
        <v>3.5791560733743469E-2</v>
      </c>
      <c r="X1792">
        <v>7.5568861757078767E-3</v>
      </c>
      <c r="Y1792">
        <v>1.5799239694513985E-3</v>
      </c>
    </row>
    <row r="1793" spans="1:25" x14ac:dyDescent="0.25">
      <c r="A1793" s="1096"/>
      <c r="B1793" s="1455">
        <v>1543</v>
      </c>
      <c r="C1793" s="1100">
        <v>0.98415543345247014</v>
      </c>
      <c r="D1793" s="1100">
        <v>1.0023263477051876</v>
      </c>
      <c r="E1793" s="1100">
        <v>0.98110753243006976</v>
      </c>
      <c r="F1793" s="1100">
        <v>0.97004119036357173</v>
      </c>
      <c r="G1793" s="1100">
        <v>1.042081836423784</v>
      </c>
      <c r="H1793" s="1100">
        <v>0.99820505358250955</v>
      </c>
      <c r="I1793" s="1100">
        <v>0.992472963097358</v>
      </c>
      <c r="K1793">
        <v>1.2874202565360335</v>
      </c>
      <c r="L1793">
        <v>0</v>
      </c>
      <c r="M1793">
        <v>6.3333898890343115E-4</v>
      </c>
      <c r="N1793">
        <v>5.5004447639966682E-2</v>
      </c>
      <c r="O1793">
        <v>7.8748825124728226E-3</v>
      </c>
      <c r="P1793">
        <v>1.5640234941824174E-2</v>
      </c>
      <c r="Q1793">
        <v>4.4731534093095778E-4</v>
      </c>
      <c r="R1793">
        <v>6.3146675425373598E-4</v>
      </c>
      <c r="S1793">
        <v>6.0932484748646841E-2</v>
      </c>
      <c r="T1793">
        <v>1.0020006142931035</v>
      </c>
      <c r="U1793">
        <v>0</v>
      </c>
      <c r="V1793">
        <v>0.10013270562818014</v>
      </c>
      <c r="W1793">
        <v>3.6545286803229493E-2</v>
      </c>
      <c r="X1793">
        <v>7.1255125202092087E-3</v>
      </c>
      <c r="Y1793">
        <v>1.7186443421190749E-3</v>
      </c>
    </row>
    <row r="1794" spans="1:25" x14ac:dyDescent="0.25">
      <c r="A1794" s="1096"/>
      <c r="B1794" s="1455">
        <v>1544</v>
      </c>
      <c r="C1794" s="1100">
        <v>1.0215968942046758</v>
      </c>
      <c r="D1794" s="1100">
        <v>0.98976821666850934</v>
      </c>
      <c r="E1794" s="1100">
        <v>1.034804182655225</v>
      </c>
      <c r="F1794" s="1100">
        <v>0.99596006249048596</v>
      </c>
      <c r="G1794" s="1100">
        <v>0.99531896464332448</v>
      </c>
      <c r="H1794" s="1100">
        <v>1.0047577480017087</v>
      </c>
      <c r="I1794" s="1100">
        <v>1.0390159658087894</v>
      </c>
      <c r="K1794">
        <v>1.3131900052662175</v>
      </c>
      <c r="L1794">
        <v>0</v>
      </c>
      <c r="M1794">
        <v>5.5210385540809665E-4</v>
      </c>
      <c r="N1794">
        <v>5.6390367971699773E-2</v>
      </c>
      <c r="O1794">
        <v>7.6375957840840491E-3</v>
      </c>
      <c r="P1794">
        <v>1.6600494763589092E-2</v>
      </c>
      <c r="Q1794">
        <v>4.5778938520324555E-4</v>
      </c>
      <c r="R1794">
        <v>5.5048240662774616E-4</v>
      </c>
      <c r="S1794">
        <v>6.2127331077983558E-2</v>
      </c>
      <c r="T1794">
        <v>1.0271941973262739</v>
      </c>
      <c r="U1794">
        <v>0</v>
      </c>
      <c r="V1794">
        <v>9.7007682111568128E-2</v>
      </c>
      <c r="W1794">
        <v>3.6296411647649372E-2</v>
      </c>
      <c r="X1794">
        <v>7.9815250025812474E-3</v>
      </c>
      <c r="Y1794">
        <v>1.4982316443641508E-3</v>
      </c>
    </row>
    <row r="1795" spans="1:25" x14ac:dyDescent="0.25">
      <c r="A1795" s="1096"/>
      <c r="B1795" s="1455">
        <v>1545</v>
      </c>
      <c r="C1795" s="1100">
        <v>1.0211592400496765</v>
      </c>
      <c r="D1795" s="1100">
        <v>0.95966936712199535</v>
      </c>
      <c r="E1795" s="1100">
        <v>0.97951268104698308</v>
      </c>
      <c r="F1795" s="1100">
        <v>1.0125357596906044</v>
      </c>
      <c r="G1795" s="1100">
        <v>0.99328940510435015</v>
      </c>
      <c r="H1795" s="1100">
        <v>0.97016309318796523</v>
      </c>
      <c r="I1795" s="1100">
        <v>0.98580697489860181</v>
      </c>
      <c r="K1795">
        <v>1.322006449913133</v>
      </c>
      <c r="L1795">
        <v>0</v>
      </c>
      <c r="M1795">
        <v>6.0564582802248546E-4</v>
      </c>
      <c r="N1795">
        <v>5.2341656452672768E-2</v>
      </c>
      <c r="O1795">
        <v>7.7223141085842112E-3</v>
      </c>
      <c r="P1795">
        <v>1.6139714496260914E-2</v>
      </c>
      <c r="Q1795">
        <v>4.3793867586646085E-4</v>
      </c>
      <c r="R1795">
        <v>6.0380370852588041E-4</v>
      </c>
      <c r="S1795">
        <v>5.8866807188367523E-2</v>
      </c>
      <c r="T1795">
        <v>1.0459442453952656</v>
      </c>
      <c r="U1795">
        <v>0</v>
      </c>
      <c r="V1795">
        <v>9.6858583880017682E-2</v>
      </c>
      <c r="W1795">
        <v>3.4809609863624719E-2</v>
      </c>
      <c r="X1795">
        <v>7.244067321200337E-3</v>
      </c>
      <c r="Y1795">
        <v>1.6433546507684251E-3</v>
      </c>
    </row>
    <row r="1796" spans="1:25" x14ac:dyDescent="0.25">
      <c r="A1796" s="1096"/>
      <c r="B1796" s="1455">
        <v>1546</v>
      </c>
      <c r="C1796" s="1100">
        <v>1.0117333138252997</v>
      </c>
      <c r="D1796" s="1100">
        <v>1.0059307822927435</v>
      </c>
      <c r="E1796" s="1100">
        <v>1.0077571620904291</v>
      </c>
      <c r="F1796" s="1100">
        <v>1.0008314969570067</v>
      </c>
      <c r="G1796" s="1100">
        <v>0.99400491467415009</v>
      </c>
      <c r="H1796" s="1100">
        <v>0.99562363018944233</v>
      </c>
      <c r="I1796" s="1100">
        <v>1.0100592981092069</v>
      </c>
      <c r="K1796">
        <v>1.3143083943064322</v>
      </c>
      <c r="L1796">
        <v>0</v>
      </c>
      <c r="M1796">
        <v>5.806295008527507E-4</v>
      </c>
      <c r="N1796">
        <v>5.4656090399297752E-2</v>
      </c>
      <c r="O1796">
        <v>7.6556824560694067E-3</v>
      </c>
      <c r="P1796">
        <v>1.6329627117899807E-2</v>
      </c>
      <c r="Q1796">
        <v>4.4670770194490814E-4</v>
      </c>
      <c r="R1796">
        <v>5.7890863221184564E-4</v>
      </c>
      <c r="S1796">
        <v>6.0153175277595519E-2</v>
      </c>
      <c r="T1796">
        <v>1.0330070289548832</v>
      </c>
      <c r="U1796">
        <v>0</v>
      </c>
      <c r="V1796">
        <v>9.7150477975005187E-2</v>
      </c>
      <c r="W1796">
        <v>3.5740681096494795E-2</v>
      </c>
      <c r="X1796">
        <v>7.5950457361809729E-3</v>
      </c>
      <c r="Y1796">
        <v>1.575598459701324E-3</v>
      </c>
    </row>
    <row r="1797" spans="1:25" x14ac:dyDescent="0.25">
      <c r="A1797" s="1096"/>
      <c r="B1797" s="1455">
        <v>1547</v>
      </c>
      <c r="C1797" s="1100">
        <v>0.98491239982855783</v>
      </c>
      <c r="D1797" s="1100">
        <v>0.96169222105444818</v>
      </c>
      <c r="E1797" s="1100">
        <v>0.96238531989729459</v>
      </c>
      <c r="F1797" s="1100">
        <v>0.99613304642608169</v>
      </c>
      <c r="G1797" s="1100">
        <v>0.97070790687467501</v>
      </c>
      <c r="H1797" s="1100">
        <v>0.98872465516256325</v>
      </c>
      <c r="I1797" s="1100">
        <v>0.9885754417314192</v>
      </c>
      <c r="K1797">
        <v>1.311719407558384</v>
      </c>
      <c r="L1797">
        <v>0</v>
      </c>
      <c r="M1797">
        <v>6.6242676756926144E-4</v>
      </c>
      <c r="N1797">
        <v>5.4358899898321017E-2</v>
      </c>
      <c r="O1797">
        <v>7.9954552651421082E-3</v>
      </c>
      <c r="P1797">
        <v>1.5746315894038177E-2</v>
      </c>
      <c r="Q1797">
        <v>4.455644011833588E-4</v>
      </c>
      <c r="R1797">
        <v>6.6044976912479393E-4</v>
      </c>
      <c r="S1797">
        <v>6.1695815431730659E-2</v>
      </c>
      <c r="T1797">
        <v>1.0295229842593205</v>
      </c>
      <c r="U1797">
        <v>0</v>
      </c>
      <c r="V1797">
        <v>9.6640345129786698E-2</v>
      </c>
      <c r="W1797">
        <v>3.6529707358686207E-2</v>
      </c>
      <c r="X1797">
        <v>6.9887703642694662E-3</v>
      </c>
      <c r="Y1797">
        <v>1.7975265543498102E-3</v>
      </c>
    </row>
    <row r="1798" spans="1:25" x14ac:dyDescent="0.25">
      <c r="A1798" s="1096"/>
      <c r="B1798" s="1455">
        <v>1548</v>
      </c>
      <c r="C1798" s="1100">
        <v>0.96123643198188535</v>
      </c>
      <c r="D1798" s="1100">
        <v>0.96168694988187131</v>
      </c>
      <c r="E1798" s="1100">
        <v>0.97043428612021077</v>
      </c>
      <c r="F1798" s="1100">
        <v>0.95567151000237927</v>
      </c>
      <c r="G1798" s="1100">
        <v>1.0386169739502387</v>
      </c>
      <c r="H1798" s="1100">
        <v>0.97576426487230949</v>
      </c>
      <c r="I1798" s="1100">
        <v>0.9853360775035539</v>
      </c>
      <c r="K1798">
        <v>1.2758261841864023</v>
      </c>
      <c r="L1798">
        <v>0</v>
      </c>
      <c r="M1798">
        <v>6.5881485446724953E-4</v>
      </c>
      <c r="N1798">
        <v>5.5394423607650282E-2</v>
      </c>
      <c r="O1798">
        <v>8.1944836377928661E-3</v>
      </c>
      <c r="P1798">
        <v>1.5347557652251658E-2</v>
      </c>
      <c r="Q1798">
        <v>4.6043554599712228E-4</v>
      </c>
      <c r="R1798">
        <v>6.5682251979909867E-4</v>
      </c>
      <c r="S1798">
        <v>6.2604746097626784E-2</v>
      </c>
      <c r="T1798">
        <v>0.9874685013098512</v>
      </c>
      <c r="U1798">
        <v>0</v>
      </c>
      <c r="V1798">
        <v>0.10055325087163701</v>
      </c>
      <c r="W1798">
        <v>3.7043153284110147E-2</v>
      </c>
      <c r="X1798">
        <v>6.9739701367451494E-3</v>
      </c>
      <c r="Y1798">
        <v>1.7876543774076859E-3</v>
      </c>
    </row>
    <row r="1799" spans="1:25" x14ac:dyDescent="0.25">
      <c r="A1799" s="1096"/>
      <c r="B1799" s="1455">
        <v>1549</v>
      </c>
      <c r="C1799" s="1100">
        <v>0.98101389293896268</v>
      </c>
      <c r="D1799" s="1100">
        <v>1.0010105503167279</v>
      </c>
      <c r="E1799" s="1100">
        <v>1.0054734999357064</v>
      </c>
      <c r="F1799" s="1100">
        <v>1.0178976203501859</v>
      </c>
      <c r="G1799" s="1100">
        <v>0.99533960536642774</v>
      </c>
      <c r="H1799" s="1100">
        <v>0.98357193572226975</v>
      </c>
      <c r="I1799" s="1100">
        <v>0.98470802544423564</v>
      </c>
      <c r="K1799">
        <v>1.3353148528306045</v>
      </c>
      <c r="L1799">
        <v>0</v>
      </c>
      <c r="M1799">
        <v>5.955415450838498E-4</v>
      </c>
      <c r="N1799">
        <v>5.5672506963706375E-2</v>
      </c>
      <c r="O1799">
        <v>7.9103407191241423E-3</v>
      </c>
      <c r="P1799">
        <v>1.6557090251821914E-2</v>
      </c>
      <c r="Q1799">
        <v>4.6051251871851508E-4</v>
      </c>
      <c r="R1799">
        <v>5.9375485283560329E-4</v>
      </c>
      <c r="S1799">
        <v>6.0267573273762073E-2</v>
      </c>
      <c r="T1799">
        <v>1.0506905399518187</v>
      </c>
      <c r="U1799">
        <v>0</v>
      </c>
      <c r="V1799">
        <v>9.7979626358136243E-2</v>
      </c>
      <c r="W1799">
        <v>3.6454524020794382E-2</v>
      </c>
      <c r="X1799">
        <v>7.7079204867867837E-3</v>
      </c>
      <c r="Y1799">
        <v>1.6160049781838788E-3</v>
      </c>
    </row>
    <row r="1800" spans="1:25" x14ac:dyDescent="0.25">
      <c r="A1800" s="1096"/>
      <c r="B1800" s="1455">
        <v>1550</v>
      </c>
      <c r="C1800" s="1100">
        <v>1.0164989163997507</v>
      </c>
      <c r="D1800" s="1100">
        <v>1.002233630670718</v>
      </c>
      <c r="E1800" s="1100">
        <v>0.98188673018719275</v>
      </c>
      <c r="F1800" s="1100">
        <v>0.96740135664258953</v>
      </c>
      <c r="G1800" s="1100">
        <v>1.0359261230732886</v>
      </c>
      <c r="H1800" s="1100">
        <v>1.0065157998478647</v>
      </c>
      <c r="I1800" s="1100">
        <v>0.96514721725658215</v>
      </c>
      <c r="K1800">
        <v>1.2776650242912795</v>
      </c>
      <c r="L1800">
        <v>0</v>
      </c>
      <c r="M1800">
        <v>6.1731949600292706E-4</v>
      </c>
      <c r="N1800">
        <v>5.3741029610487649E-2</v>
      </c>
      <c r="O1800">
        <v>7.6247850357642156E-3</v>
      </c>
      <c r="P1800">
        <v>1.555302893448827E-2</v>
      </c>
      <c r="Q1800">
        <v>4.3345196674991608E-4</v>
      </c>
      <c r="R1800">
        <v>6.1550968503987734E-4</v>
      </c>
      <c r="S1800">
        <v>5.7613661563194037E-2</v>
      </c>
      <c r="T1800">
        <v>0.9992509538490465</v>
      </c>
      <c r="U1800">
        <v>0</v>
      </c>
      <c r="V1800">
        <v>9.9034808551919012E-2</v>
      </c>
      <c r="W1800">
        <v>3.5689088575235277E-2</v>
      </c>
      <c r="X1800">
        <v>7.0508115553904235E-3</v>
      </c>
      <c r="Y1800">
        <v>1.6752144599654036E-3</v>
      </c>
    </row>
    <row r="1801" spans="1:25" x14ac:dyDescent="0.25">
      <c r="A1801" s="1096"/>
      <c r="B1801" s="1455">
        <v>1551</v>
      </c>
      <c r="C1801" s="1100">
        <v>0.97269311216576859</v>
      </c>
      <c r="D1801" s="1100">
        <v>0.97726659470782062</v>
      </c>
      <c r="E1801" s="1100">
        <v>1.0006243874100504</v>
      </c>
      <c r="F1801" s="1100">
        <v>1.0163390970796844</v>
      </c>
      <c r="G1801" s="1100">
        <v>0.98340814462682136</v>
      </c>
      <c r="H1801" s="1100">
        <v>0.99386132008571038</v>
      </c>
      <c r="I1801" s="1100">
        <v>1.0291899088148075</v>
      </c>
      <c r="K1801">
        <v>1.3404129440009174</v>
      </c>
      <c r="L1801">
        <v>0</v>
      </c>
      <c r="M1801">
        <v>6.1897301263573597E-4</v>
      </c>
      <c r="N1801">
        <v>5.7023369513206634E-2</v>
      </c>
      <c r="O1801">
        <v>8.0537495687489444E-3</v>
      </c>
      <c r="P1801">
        <v>1.6532811832422313E-2</v>
      </c>
      <c r="Q1801">
        <v>4.6658533919011571E-4</v>
      </c>
      <c r="R1801">
        <v>6.1713524861932499E-4</v>
      </c>
      <c r="S1801">
        <v>6.4684836267063686E-2</v>
      </c>
      <c r="T1801">
        <v>1.0492280518460844</v>
      </c>
      <c r="U1801">
        <v>0</v>
      </c>
      <c r="V1801">
        <v>9.7613076553852582E-2</v>
      </c>
      <c r="W1801">
        <v>3.7446581729631695E-2</v>
      </c>
      <c r="X1801">
        <v>7.6860804065705113E-3</v>
      </c>
      <c r="Y1801">
        <v>1.6796387081617703E-3</v>
      </c>
    </row>
    <row r="1802" spans="1:25" x14ac:dyDescent="0.25">
      <c r="A1802" s="1096"/>
      <c r="B1802" s="1455">
        <v>1552</v>
      </c>
      <c r="C1802" s="1100">
        <v>0.97128430236996643</v>
      </c>
      <c r="D1802" s="1100">
        <v>1.0261004148180282</v>
      </c>
      <c r="E1802" s="1100">
        <v>1.023171444454428</v>
      </c>
      <c r="F1802" s="1100">
        <v>1.0156774486707112</v>
      </c>
      <c r="G1802" s="1100">
        <v>0.97509503735366598</v>
      </c>
      <c r="H1802" s="1100">
        <v>1.0149042511134074</v>
      </c>
      <c r="I1802" s="1100">
        <v>1.0201065066601314</v>
      </c>
      <c r="K1802">
        <v>1.3394100485123692</v>
      </c>
      <c r="L1802">
        <v>0</v>
      </c>
      <c r="M1802">
        <v>5.9235337786025979E-4</v>
      </c>
      <c r="N1802">
        <v>5.8418035912066353E-2</v>
      </c>
      <c r="O1802">
        <v>7.9152929997092728E-3</v>
      </c>
      <c r="P1802">
        <v>1.6766682486872006E-2</v>
      </c>
      <c r="Q1802">
        <v>4.6900593327091697E-4</v>
      </c>
      <c r="R1802">
        <v>5.9063111428732157E-4</v>
      </c>
      <c r="S1802">
        <v>6.3239310606233987E-2</v>
      </c>
      <c r="T1802">
        <v>1.0478714557135096</v>
      </c>
      <c r="U1802">
        <v>0</v>
      </c>
      <c r="V1802">
        <v>9.7273233380389956E-2</v>
      </c>
      <c r="W1802">
        <v>3.7856515811534423E-2</v>
      </c>
      <c r="X1802">
        <v>7.9947347407594554E-3</v>
      </c>
      <c r="Y1802">
        <v>1.6075031915955924E-3</v>
      </c>
    </row>
    <row r="1803" spans="1:25" x14ac:dyDescent="0.25">
      <c r="A1803" s="1096"/>
      <c r="B1803" s="1455">
        <v>1553</v>
      </c>
      <c r="C1803" s="1100">
        <v>0.99989277859770787</v>
      </c>
      <c r="D1803" s="1100">
        <v>1.0045473309454502</v>
      </c>
      <c r="E1803" s="1100">
        <v>0.97635673749563556</v>
      </c>
      <c r="F1803" s="1100">
        <v>0.98122710585344497</v>
      </c>
      <c r="G1803" s="1100">
        <v>0.96243691889525684</v>
      </c>
      <c r="H1803" s="1100">
        <v>0.99465551217870174</v>
      </c>
      <c r="I1803" s="1100">
        <v>1.0353576738377048</v>
      </c>
      <c r="K1803">
        <v>1.2940033966321332</v>
      </c>
      <c r="L1803">
        <v>0</v>
      </c>
      <c r="M1803">
        <v>6.2672987060344971E-4</v>
      </c>
      <c r="N1803">
        <v>5.3653014144831049E-2</v>
      </c>
      <c r="O1803">
        <v>7.7429199885831294E-3</v>
      </c>
      <c r="P1803">
        <v>1.5702829850127553E-2</v>
      </c>
      <c r="Q1803">
        <v>4.3769937162381386E-4</v>
      </c>
      <c r="R1803">
        <v>6.248705618293912E-4</v>
      </c>
      <c r="S1803">
        <v>6.2373928952946835E-2</v>
      </c>
      <c r="T1803">
        <v>1.0136967825903145</v>
      </c>
      <c r="U1803">
        <v>0</v>
      </c>
      <c r="V1803">
        <v>9.5878793156773279E-2</v>
      </c>
      <c r="W1803">
        <v>3.5749895805325865E-2</v>
      </c>
      <c r="X1803">
        <v>7.0687003996059315E-3</v>
      </c>
      <c r="Y1803">
        <v>1.7006916807742567E-3</v>
      </c>
    </row>
    <row r="1804" spans="1:25" x14ac:dyDescent="0.25">
      <c r="A1804" s="1096"/>
      <c r="B1804" s="1455">
        <v>1554</v>
      </c>
      <c r="C1804" s="1100">
        <v>0.95832329642154224</v>
      </c>
      <c r="D1804" s="1100">
        <v>1.0263171843646386</v>
      </c>
      <c r="E1804" s="1100">
        <v>0.99819322985402092</v>
      </c>
      <c r="F1804" s="1100">
        <v>0.98731708973033838</v>
      </c>
      <c r="G1804" s="1100">
        <v>1.0025685391440153</v>
      </c>
      <c r="H1804" s="1100">
        <v>1.000418733903583</v>
      </c>
      <c r="I1804" s="1100">
        <v>1.0136492127176548</v>
      </c>
      <c r="K1804">
        <v>1.3096971246450326</v>
      </c>
      <c r="L1804">
        <v>0</v>
      </c>
      <c r="M1804">
        <v>6.232668783992195E-4</v>
      </c>
      <c r="N1804">
        <v>5.6999839639744893E-2</v>
      </c>
      <c r="O1804">
        <v>8.015324477563859E-3</v>
      </c>
      <c r="P1804">
        <v>1.6093192604479646E-2</v>
      </c>
      <c r="Q1804">
        <v>4.6322546018260708E-4</v>
      </c>
      <c r="R1804">
        <v>6.2142849516418682E-4</v>
      </c>
      <c r="S1804">
        <v>6.3193002800760678E-2</v>
      </c>
      <c r="T1804">
        <v>1.0193383741457056</v>
      </c>
      <c r="U1804">
        <v>0</v>
      </c>
      <c r="V1804">
        <v>9.8919293423927815E-2</v>
      </c>
      <c r="W1804">
        <v>3.7485280323750633E-2</v>
      </c>
      <c r="X1804">
        <v>7.5001066421634538E-3</v>
      </c>
      <c r="Y1804">
        <v>1.6913235099885412E-3</v>
      </c>
    </row>
    <row r="1805" spans="1:25" x14ac:dyDescent="0.25">
      <c r="A1805" s="1096"/>
      <c r="B1805" s="1455">
        <v>1555</v>
      </c>
      <c r="C1805" s="1100">
        <v>1.0052623046045071</v>
      </c>
      <c r="D1805" s="1100">
        <v>1.0061084675045</v>
      </c>
      <c r="E1805" s="1100">
        <v>1.0178243171807386</v>
      </c>
      <c r="F1805" s="1100">
        <v>1.0091254478566949</v>
      </c>
      <c r="G1805" s="1100">
        <v>1.0265134959670981</v>
      </c>
      <c r="H1805" s="1100">
        <v>1.0081582239972489</v>
      </c>
      <c r="I1805" s="1100">
        <v>1.0377146367305119</v>
      </c>
      <c r="K1805">
        <v>1.3297176111687339</v>
      </c>
      <c r="L1805">
        <v>0</v>
      </c>
      <c r="M1805">
        <v>5.7943086538372423E-4</v>
      </c>
      <c r="N1805">
        <v>5.6228154563102505E-2</v>
      </c>
      <c r="O1805">
        <v>7.7068759408231184E-3</v>
      </c>
      <c r="P1805">
        <v>1.6623384538376123E-2</v>
      </c>
      <c r="Q1805">
        <v>4.5423616831917967E-4</v>
      </c>
      <c r="R1805">
        <v>5.7773490092480773E-4</v>
      </c>
      <c r="S1805">
        <v>6.2596456277557444E-2</v>
      </c>
      <c r="T1805">
        <v>1.0412691003145824</v>
      </c>
      <c r="U1805">
        <v>0</v>
      </c>
      <c r="V1805">
        <v>9.8892279792354112E-2</v>
      </c>
      <c r="W1805">
        <v>3.6551534581594408E-2</v>
      </c>
      <c r="X1805">
        <v>7.8248810064235549E-3</v>
      </c>
      <c r="Y1805">
        <v>1.5724039500584215E-3</v>
      </c>
    </row>
    <row r="1806" spans="1:25" x14ac:dyDescent="0.25">
      <c r="A1806" s="1096"/>
      <c r="B1806" s="1455">
        <v>1556</v>
      </c>
      <c r="C1806" s="1100">
        <v>0.98909075067544927</v>
      </c>
      <c r="D1806" s="1100">
        <v>0.99050625041663198</v>
      </c>
      <c r="E1806" s="1100">
        <v>0.97244370412967573</v>
      </c>
      <c r="F1806" s="1100">
        <v>0.99540344107392542</v>
      </c>
      <c r="G1806" s="1100">
        <v>1.0143907066609874</v>
      </c>
      <c r="H1806" s="1100">
        <v>1.0202335564508995</v>
      </c>
      <c r="I1806" s="1100">
        <v>0.98847823138516322</v>
      </c>
      <c r="K1806">
        <v>1.3146230658204783</v>
      </c>
      <c r="L1806">
        <v>0</v>
      </c>
      <c r="M1806">
        <v>6.58841166761378E-4</v>
      </c>
      <c r="N1806">
        <v>5.5742045652862199E-2</v>
      </c>
      <c r="O1806">
        <v>7.8707074641786376E-3</v>
      </c>
      <c r="P1806">
        <v>1.5877810308825208E-2</v>
      </c>
      <c r="Q1806">
        <v>4.4315152909579406E-4</v>
      </c>
      <c r="R1806">
        <v>6.5693559660678382E-4</v>
      </c>
      <c r="S1806">
        <v>6.143603729514225E-2</v>
      </c>
      <c r="T1806">
        <v>1.0284611438243088</v>
      </c>
      <c r="U1806">
        <v>0</v>
      </c>
      <c r="V1806">
        <v>9.8657995308608901E-2</v>
      </c>
      <c r="W1806">
        <v>3.7230105642432398E-2</v>
      </c>
      <c r="X1806">
        <v>7.11801222997515E-3</v>
      </c>
      <c r="Y1806">
        <v>1.7879621352024455E-3</v>
      </c>
    </row>
    <row r="1807" spans="1:25" x14ac:dyDescent="0.25">
      <c r="A1807" s="1096"/>
      <c r="B1807" s="1455">
        <v>1557</v>
      </c>
      <c r="C1807" s="1100">
        <v>1.02305058024448</v>
      </c>
      <c r="D1807" s="1100">
        <v>0.98197839876953064</v>
      </c>
      <c r="E1807" s="1100">
        <v>1.0130227999135106</v>
      </c>
      <c r="F1807" s="1100">
        <v>1.0129869618429277</v>
      </c>
      <c r="G1807" s="1100">
        <v>0.9803900515308317</v>
      </c>
      <c r="H1807" s="1100">
        <v>1.0095475129941709</v>
      </c>
      <c r="I1807" s="1100">
        <v>1.0012207723387747</v>
      </c>
      <c r="K1807">
        <v>1.3276068367403517</v>
      </c>
      <c r="L1807">
        <v>0</v>
      </c>
      <c r="M1807">
        <v>5.8148012687213541E-4</v>
      </c>
      <c r="N1807">
        <v>5.5615507797453743E-2</v>
      </c>
      <c r="O1807">
        <v>7.6456028682550387E-3</v>
      </c>
      <c r="P1807">
        <v>1.6551278558246351E-2</v>
      </c>
      <c r="Q1807">
        <v>4.4847349962600166E-4</v>
      </c>
      <c r="R1807">
        <v>5.7978050648589295E-4</v>
      </c>
      <c r="S1807">
        <v>6.0159312164488721E-2</v>
      </c>
      <c r="T1807">
        <v>1.0453961585705203</v>
      </c>
      <c r="U1807">
        <v>0</v>
      </c>
      <c r="V1807">
        <v>9.6226609297761417E-2</v>
      </c>
      <c r="W1807">
        <v>3.6255348824885833E-2</v>
      </c>
      <c r="X1807">
        <v>7.7322733654398698E-3</v>
      </c>
      <c r="Y1807">
        <v>1.5779714140620039E-3</v>
      </c>
    </row>
    <row r="1808" spans="1:25" x14ac:dyDescent="0.25">
      <c r="A1808" s="1096"/>
      <c r="B1808" s="1455">
        <v>1558</v>
      </c>
      <c r="C1808" s="1100">
        <v>0.9645196526424531</v>
      </c>
      <c r="D1808" s="1100">
        <v>0.97348568623243192</v>
      </c>
      <c r="E1808" s="1100">
        <v>1.0243073574137636</v>
      </c>
      <c r="F1808" s="1100">
        <v>1.0322514585242779</v>
      </c>
      <c r="G1808" s="1100">
        <v>1.0169105517051469</v>
      </c>
      <c r="H1808" s="1100">
        <v>0.99893232815016442</v>
      </c>
      <c r="I1808" s="1100">
        <v>1.0036869025234973</v>
      </c>
      <c r="K1808">
        <v>1.3613417152870622</v>
      </c>
      <c r="L1808">
        <v>0</v>
      </c>
      <c r="M1808">
        <v>5.9819704102087958E-4</v>
      </c>
      <c r="N1808">
        <v>5.919403264130154E-2</v>
      </c>
      <c r="O1808">
        <v>8.1407055718015799E-3</v>
      </c>
      <c r="P1808">
        <v>1.7057865735936942E-2</v>
      </c>
      <c r="Q1808">
        <v>4.8290623505140587E-4</v>
      </c>
      <c r="R1808">
        <v>5.9642997811404125E-4</v>
      </c>
      <c r="S1808">
        <v>6.393654463486502E-2</v>
      </c>
      <c r="T1808">
        <v>1.0649367386745014</v>
      </c>
      <c r="U1808">
        <v>0</v>
      </c>
      <c r="V1808">
        <v>9.9476774056729222E-2</v>
      </c>
      <c r="W1808">
        <v>3.8333974086808054E-2</v>
      </c>
      <c r="X1808">
        <v>8.1606549256350303E-3</v>
      </c>
      <c r="Y1808">
        <v>1.6232857873369761E-3</v>
      </c>
    </row>
    <row r="1809" spans="1:25" x14ac:dyDescent="0.25">
      <c r="A1809" s="1096"/>
      <c r="B1809" s="1455">
        <v>1559</v>
      </c>
      <c r="C1809" s="1100">
        <v>0.99062250933467666</v>
      </c>
      <c r="D1809" s="1100">
        <v>0.96658606576113149</v>
      </c>
      <c r="E1809" s="1100">
        <v>0.97759750604842455</v>
      </c>
      <c r="F1809" s="1100">
        <v>0.98835922622098482</v>
      </c>
      <c r="G1809" s="1100">
        <v>0.99596435433233454</v>
      </c>
      <c r="H1809" s="1100">
        <v>1.0107686195367722</v>
      </c>
      <c r="I1809" s="1100">
        <v>0.99936151865998213</v>
      </c>
      <c r="K1809">
        <v>1.3076859893051365</v>
      </c>
      <c r="L1809">
        <v>0</v>
      </c>
      <c r="M1809">
        <v>6.5115283301990328E-4</v>
      </c>
      <c r="N1809">
        <v>5.595617653861986E-2</v>
      </c>
      <c r="O1809">
        <v>7.9370469937304761E-3</v>
      </c>
      <c r="P1809">
        <v>1.5843152476188456E-2</v>
      </c>
      <c r="Q1809">
        <v>4.4924031262412266E-4</v>
      </c>
      <c r="R1809">
        <v>6.4925186416084325E-4</v>
      </c>
      <c r="S1809">
        <v>6.2543497259415035E-2</v>
      </c>
      <c r="T1809">
        <v>1.0210275654130303</v>
      </c>
      <c r="U1809">
        <v>0</v>
      </c>
      <c r="V1809">
        <v>9.7733725032773791E-2</v>
      </c>
      <c r="W1809">
        <v>3.7256540940621877E-2</v>
      </c>
      <c r="X1809">
        <v>7.1738957585645085E-3</v>
      </c>
      <c r="Y1809">
        <v>1.7670495484263156E-3</v>
      </c>
    </row>
    <row r="1810" spans="1:25" x14ac:dyDescent="0.25">
      <c r="A1810" s="1096"/>
      <c r="B1810" s="1455">
        <v>1560</v>
      </c>
      <c r="C1810" s="1100">
        <v>0.97348930666823663</v>
      </c>
      <c r="D1810" s="1100">
        <v>0.99242939951376119</v>
      </c>
      <c r="E1810" s="1100">
        <v>0.96776675090750208</v>
      </c>
      <c r="F1810" s="1100">
        <v>1.0205543163875643</v>
      </c>
      <c r="G1810" s="1100">
        <v>1.0045504248736252</v>
      </c>
      <c r="H1810" s="1100">
        <v>1.038861985335912</v>
      </c>
      <c r="I1810" s="1100">
        <v>0.98317160847664786</v>
      </c>
      <c r="K1810">
        <v>1.3452421744688723</v>
      </c>
      <c r="L1810">
        <v>0</v>
      </c>
      <c r="M1810">
        <v>6.8770206545620556E-4</v>
      </c>
      <c r="N1810">
        <v>5.7368695030884126E-2</v>
      </c>
      <c r="O1810">
        <v>7.9894665215714828E-3</v>
      </c>
      <c r="P1810">
        <v>1.6183149654172904E-2</v>
      </c>
      <c r="Q1810">
        <v>4.476930648753458E-4</v>
      </c>
      <c r="R1810">
        <v>6.8574868745477108E-4</v>
      </c>
      <c r="S1810">
        <v>6.2592379220135344E-2</v>
      </c>
      <c r="T1810">
        <v>1.054593629832558</v>
      </c>
      <c r="U1810">
        <v>0</v>
      </c>
      <c r="V1810">
        <v>9.8578207896042019E-2</v>
      </c>
      <c r="W1810">
        <v>3.8425760819760693E-2</v>
      </c>
      <c r="X1810">
        <v>7.1987639366151209E-3</v>
      </c>
      <c r="Y1810">
        <v>1.8663818702578214E-3</v>
      </c>
    </row>
    <row r="1811" spans="1:25" x14ac:dyDescent="0.25">
      <c r="A1811" s="1096"/>
      <c r="B1811" s="1455">
        <v>1561</v>
      </c>
      <c r="C1811" s="1100">
        <v>1.0290183802265236</v>
      </c>
      <c r="D1811" s="1100">
        <v>1.0056314086229949</v>
      </c>
      <c r="E1811" s="1100">
        <v>0.97203828582948271</v>
      </c>
      <c r="F1811" s="1100">
        <v>1.0252692229649272</v>
      </c>
      <c r="G1811" s="1100">
        <v>0.9673301653587334</v>
      </c>
      <c r="H1811" s="1100">
        <v>1.0110729098613151</v>
      </c>
      <c r="I1811" s="1100">
        <v>0.99250084778737346</v>
      </c>
      <c r="K1811">
        <v>1.3342761891687966</v>
      </c>
      <c r="L1811">
        <v>0</v>
      </c>
      <c r="M1811">
        <v>6.2432048736068603E-4</v>
      </c>
      <c r="N1811">
        <v>5.2755204734538291E-2</v>
      </c>
      <c r="O1811">
        <v>7.5194934938948984E-3</v>
      </c>
      <c r="P1811">
        <v>1.6203078031534927E-2</v>
      </c>
      <c r="Q1811">
        <v>4.2320163402345418E-4</v>
      </c>
      <c r="R1811">
        <v>6.2249840111079906E-4</v>
      </c>
      <c r="S1811">
        <v>5.8544272309955681E-2</v>
      </c>
      <c r="T1811">
        <v>1.0593314963847444</v>
      </c>
      <c r="U1811">
        <v>0</v>
      </c>
      <c r="V1811">
        <v>9.5409531532661129E-2</v>
      </c>
      <c r="W1811">
        <v>3.5243874883107325E-2</v>
      </c>
      <c r="X1811">
        <v>7.1536228093040614E-3</v>
      </c>
      <c r="Y1811">
        <v>1.6942354412808193E-3</v>
      </c>
    </row>
    <row r="1812" spans="1:25" x14ac:dyDescent="0.25">
      <c r="A1812" s="1096"/>
      <c r="B1812" s="1455">
        <v>1562</v>
      </c>
      <c r="C1812" s="1100">
        <v>0.99262396607937564</v>
      </c>
      <c r="D1812" s="1100">
        <v>1.0015915691795096</v>
      </c>
      <c r="E1812" s="1100">
        <v>0.96922673597609854</v>
      </c>
      <c r="F1812" s="1100">
        <v>0.98613799131622226</v>
      </c>
      <c r="G1812" s="1100">
        <v>1.0272360337716187</v>
      </c>
      <c r="H1812" s="1100">
        <v>0.96637877092135493</v>
      </c>
      <c r="I1812" s="1100">
        <v>0.97651664939983596</v>
      </c>
      <c r="K1812">
        <v>1.296428100469269</v>
      </c>
      <c r="L1812">
        <v>0</v>
      </c>
      <c r="M1812">
        <v>6.2320537007034789E-4</v>
      </c>
      <c r="N1812">
        <v>5.2207526280916766E-2</v>
      </c>
      <c r="O1812">
        <v>7.8070644339717568E-3</v>
      </c>
      <c r="P1812">
        <v>1.5680341307460467E-2</v>
      </c>
      <c r="Q1812">
        <v>4.3812592748033357E-4</v>
      </c>
      <c r="R1812">
        <v>6.2130241898813304E-4</v>
      </c>
      <c r="S1812">
        <v>5.8498433700201156E-2</v>
      </c>
      <c r="T1812">
        <v>1.0189851795323712</v>
      </c>
      <c r="U1812">
        <v>0</v>
      </c>
      <c r="V1812">
        <v>9.9186569556918056E-2</v>
      </c>
      <c r="W1812">
        <v>3.4937694797165651E-2</v>
      </c>
      <c r="X1812">
        <v>6.9980875116679147E-3</v>
      </c>
      <c r="Y1812">
        <v>1.6909803721983231E-3</v>
      </c>
    </row>
    <row r="1813" spans="1:25" x14ac:dyDescent="0.25">
      <c r="A1813" s="1096"/>
      <c r="B1813" s="1455">
        <v>1563</v>
      </c>
      <c r="C1813" s="1100">
        <v>0.99525598280656169</v>
      </c>
      <c r="D1813" s="1100">
        <v>1.0019465540006476</v>
      </c>
      <c r="E1813" s="1100">
        <v>1.0038091047925646</v>
      </c>
      <c r="F1813" s="1100">
        <v>0.98567902221058701</v>
      </c>
      <c r="G1813" s="1100">
        <v>1.0105813885191723</v>
      </c>
      <c r="H1813" s="1100">
        <v>1.0015759826141175</v>
      </c>
      <c r="I1813" s="1100">
        <v>0.99932093892104623</v>
      </c>
      <c r="K1813">
        <v>1.3024504008179354</v>
      </c>
      <c r="L1813">
        <v>0</v>
      </c>
      <c r="M1813">
        <v>5.9960921769964398E-4</v>
      </c>
      <c r="N1813">
        <v>5.5774720492598281E-2</v>
      </c>
      <c r="O1813">
        <v>7.7938190280148626E-3</v>
      </c>
      <c r="P1813">
        <v>1.6094913103489299E-2</v>
      </c>
      <c r="Q1813">
        <v>4.5297251314346939E-4</v>
      </c>
      <c r="R1813">
        <v>5.9784265841310888E-4</v>
      </c>
      <c r="S1813">
        <v>6.0806423092479259E-2</v>
      </c>
      <c r="T1813">
        <v>1.0174825816779476</v>
      </c>
      <c r="U1813">
        <v>0</v>
      </c>
      <c r="V1813">
        <v>9.8353595278657238E-2</v>
      </c>
      <c r="W1813">
        <v>3.6557467361425337E-2</v>
      </c>
      <c r="X1813">
        <v>7.5085441920449535E-3</v>
      </c>
      <c r="Y1813">
        <v>1.6271306374211025E-3</v>
      </c>
    </row>
    <row r="1814" spans="1:25" x14ac:dyDescent="0.25">
      <c r="A1814" s="1096"/>
      <c r="B1814" s="1455">
        <v>1564</v>
      </c>
      <c r="C1814" s="1100">
        <v>1.0004260686115771</v>
      </c>
      <c r="D1814" s="1100">
        <v>1.0372538481183626</v>
      </c>
      <c r="E1814" s="1100">
        <v>1.0170309581998611</v>
      </c>
      <c r="F1814" s="1100">
        <v>0.96568545365415381</v>
      </c>
      <c r="G1814" s="1100">
        <v>1.0323182187611002</v>
      </c>
      <c r="H1814" s="1100">
        <v>0.98246667450154201</v>
      </c>
      <c r="I1814" s="1100">
        <v>1.0112893784043184</v>
      </c>
      <c r="K1814">
        <v>1.278113009850145</v>
      </c>
      <c r="L1814">
        <v>0</v>
      </c>
      <c r="M1814">
        <v>5.6144299914318203E-4</v>
      </c>
      <c r="N1814">
        <v>5.4348167112219764E-2</v>
      </c>
      <c r="O1814">
        <v>7.6500759352103771E-3</v>
      </c>
      <c r="P1814">
        <v>1.5957944030838386E-2</v>
      </c>
      <c r="Q1814">
        <v>4.5053244325983136E-4</v>
      </c>
      <c r="R1814">
        <v>5.5975671148583955E-4</v>
      </c>
      <c r="S1814">
        <v>5.9522881372693973E-2</v>
      </c>
      <c r="T1814">
        <v>0.99646782013528923</v>
      </c>
      <c r="U1814">
        <v>0</v>
      </c>
      <c r="V1814">
        <v>9.92914399064182E-2</v>
      </c>
      <c r="W1814">
        <v>3.5345870045803085E-2</v>
      </c>
      <c r="X1814">
        <v>7.5564919111543389E-3</v>
      </c>
      <c r="Y1814">
        <v>1.5234732449141059E-3</v>
      </c>
    </row>
    <row r="1815" spans="1:25" x14ac:dyDescent="0.25">
      <c r="A1815" s="1096"/>
      <c r="B1815" s="1455">
        <v>1565</v>
      </c>
      <c r="C1815" s="1100">
        <v>1.0150333276780863</v>
      </c>
      <c r="D1815" s="1100">
        <v>1.028492640964018</v>
      </c>
      <c r="E1815" s="1100">
        <v>0.98823077715613206</v>
      </c>
      <c r="F1815" s="1100">
        <v>0.98405833711610757</v>
      </c>
      <c r="G1815" s="1100">
        <v>0.96070078337109355</v>
      </c>
      <c r="H1815" s="1100">
        <v>1.005510140363933</v>
      </c>
      <c r="I1815" s="1100">
        <v>0.99309078352372049</v>
      </c>
      <c r="K1815">
        <v>1.2918272171408998</v>
      </c>
      <c r="L1815">
        <v>0</v>
      </c>
      <c r="M1815">
        <v>6.032646344082558E-4</v>
      </c>
      <c r="N1815">
        <v>5.3534743976615853E-2</v>
      </c>
      <c r="O1815">
        <v>7.5587207742724904E-3</v>
      </c>
      <c r="P1815">
        <v>1.5821579765535592E-2</v>
      </c>
      <c r="Q1815">
        <v>4.324681971431251E-4</v>
      </c>
      <c r="R1815">
        <v>6.0149425956482932E-4</v>
      </c>
      <c r="S1815">
        <v>5.8527117398421147E-2</v>
      </c>
      <c r="T1815">
        <v>1.0162677229764678</v>
      </c>
      <c r="U1815">
        <v>0</v>
      </c>
      <c r="V1815">
        <v>9.5438186504022651E-2</v>
      </c>
      <c r="W1815">
        <v>3.5416709693706236E-2</v>
      </c>
      <c r="X1815">
        <v>7.1946691375528804E-3</v>
      </c>
      <c r="Y1815">
        <v>1.6370690920060893E-3</v>
      </c>
    </row>
    <row r="1816" spans="1:25" x14ac:dyDescent="0.25">
      <c r="A1816" s="1096"/>
      <c r="B1816" s="1455">
        <v>1566</v>
      </c>
      <c r="C1816" s="1100">
        <v>0.98489418697035258</v>
      </c>
      <c r="D1816" s="1100">
        <v>1.0282923847353964</v>
      </c>
      <c r="E1816" s="1100">
        <v>1.0026351321611036</v>
      </c>
      <c r="F1816" s="1100">
        <v>1.0338705423179377</v>
      </c>
      <c r="G1816" s="1100">
        <v>1.0452485849527955</v>
      </c>
      <c r="H1816" s="1100">
        <v>0.98670701471953581</v>
      </c>
      <c r="I1816" s="1100">
        <v>0.96358034634494083</v>
      </c>
      <c r="K1816">
        <v>1.3507531786800719</v>
      </c>
      <c r="L1816">
        <v>0</v>
      </c>
      <c r="M1816">
        <v>5.9219825641918574E-4</v>
      </c>
      <c r="N1816">
        <v>5.4887934231084325E-2</v>
      </c>
      <c r="O1816">
        <v>7.7941827401430859E-3</v>
      </c>
      <c r="P1816">
        <v>1.6749158290577423E-2</v>
      </c>
      <c r="Q1816">
        <v>4.5246036160105456E-4</v>
      </c>
      <c r="R1816">
        <v>5.904272394313321E-4</v>
      </c>
      <c r="S1816">
        <v>5.798989707924479E-2</v>
      </c>
      <c r="T1816">
        <v>1.0672650422538945</v>
      </c>
      <c r="U1816">
        <v>0</v>
      </c>
      <c r="V1816">
        <v>0.10029138504027091</v>
      </c>
      <c r="W1816">
        <v>3.6001271664050795E-2</v>
      </c>
      <c r="X1816">
        <v>7.7166697247482317E-3</v>
      </c>
      <c r="Y1816">
        <v>1.6069483114449167E-3</v>
      </c>
    </row>
    <row r="1817" spans="1:25" x14ac:dyDescent="0.25">
      <c r="A1817" s="1096"/>
      <c r="B1817" s="1455">
        <v>1567</v>
      </c>
      <c r="C1817" s="1100">
        <v>1.0304052850321381</v>
      </c>
      <c r="D1817" s="1100">
        <v>1.0006414330141788</v>
      </c>
      <c r="E1817" s="1100">
        <v>1.0028835317689513</v>
      </c>
      <c r="F1817" s="1100">
        <v>0.98772059848467697</v>
      </c>
      <c r="G1817" s="1100">
        <v>0.96899086733506412</v>
      </c>
      <c r="H1817" s="1100">
        <v>1.0338765539929078</v>
      </c>
      <c r="I1817" s="1100">
        <v>1.008938617846916</v>
      </c>
      <c r="K1817">
        <v>1.300564137693393</v>
      </c>
      <c r="L1817">
        <v>0</v>
      </c>
      <c r="M1817">
        <v>5.9929475698013146E-4</v>
      </c>
      <c r="N1817">
        <v>5.5594973543890855E-2</v>
      </c>
      <c r="O1817">
        <v>7.5316607300847833E-3</v>
      </c>
      <c r="P1817">
        <v>1.6066988288288713E-2</v>
      </c>
      <c r="Q1817">
        <v>4.3732970265421896E-4</v>
      </c>
      <c r="R1817">
        <v>5.9758428639532387E-4</v>
      </c>
      <c r="S1817">
        <v>6.0303563014493425E-2</v>
      </c>
      <c r="T1817">
        <v>1.0196171510630261</v>
      </c>
      <c r="U1817">
        <v>0</v>
      </c>
      <c r="V1817">
        <v>9.5491032268419471E-2</v>
      </c>
      <c r="W1817">
        <v>3.6459650888909734E-2</v>
      </c>
      <c r="X1817">
        <v>7.4370712302478216E-3</v>
      </c>
      <c r="Y1817">
        <v>1.6264274339610047E-3</v>
      </c>
    </row>
    <row r="1818" spans="1:25" x14ac:dyDescent="0.25">
      <c r="A1818" s="1096"/>
      <c r="B1818" s="1455">
        <v>1568</v>
      </c>
      <c r="C1818" s="1100">
        <v>1.003821621537927</v>
      </c>
      <c r="D1818" s="1100">
        <v>1.0206785291372571</v>
      </c>
      <c r="E1818" s="1100">
        <v>0.99903247559341057</v>
      </c>
      <c r="F1818" s="1100">
        <v>0.96727464032992183</v>
      </c>
      <c r="G1818" s="1100">
        <v>1.0190965911834078</v>
      </c>
      <c r="H1818" s="1100">
        <v>1.000633448078649</v>
      </c>
      <c r="I1818" s="1100">
        <v>0.97264991124957922</v>
      </c>
      <c r="K1818">
        <v>1.278489601742365</v>
      </c>
      <c r="L1818">
        <v>0</v>
      </c>
      <c r="M1818">
        <v>5.9542068378392861E-4</v>
      </c>
      <c r="N1818">
        <v>5.4591504410789228E-2</v>
      </c>
      <c r="O1818">
        <v>7.6691137904545525E-3</v>
      </c>
      <c r="P1818">
        <v>1.5745961507103841E-2</v>
      </c>
      <c r="Q1818">
        <v>4.4359142657557734E-4</v>
      </c>
      <c r="R1818">
        <v>5.9366481232502705E-4</v>
      </c>
      <c r="S1818">
        <v>5.8066805750851304E-2</v>
      </c>
      <c r="T1818">
        <v>0.99862169921127009</v>
      </c>
      <c r="U1818">
        <v>0</v>
      </c>
      <c r="V1818">
        <v>9.8547695199413851E-2</v>
      </c>
      <c r="W1818">
        <v>3.588354386196526E-2</v>
      </c>
      <c r="X1818">
        <v>7.3056825378047851E-3</v>
      </c>
      <c r="Y1818">
        <v>1.615759917595937E-3</v>
      </c>
    </row>
    <row r="1819" spans="1:25" x14ac:dyDescent="0.25">
      <c r="A1819" s="1096"/>
      <c r="B1819" s="1455">
        <v>1569</v>
      </c>
      <c r="C1819" s="1100">
        <v>0.9975827847299682</v>
      </c>
      <c r="D1819" s="1100">
        <v>0.96583067421863722</v>
      </c>
      <c r="E1819" s="1100">
        <v>0.98428654012202743</v>
      </c>
      <c r="F1819" s="1100">
        <v>1.0052241894478597</v>
      </c>
      <c r="G1819" s="1100">
        <v>0.97309065345961809</v>
      </c>
      <c r="H1819" s="1100">
        <v>0.98657270127617602</v>
      </c>
      <c r="I1819" s="1100">
        <v>1.0169460451469132</v>
      </c>
      <c r="K1819">
        <v>1.3214705502729436</v>
      </c>
      <c r="L1819">
        <v>0</v>
      </c>
      <c r="M1819">
        <v>6.2265502826694007E-4</v>
      </c>
      <c r="N1819">
        <v>5.4597200619265179E-2</v>
      </c>
      <c r="O1819">
        <v>7.8857981871117734E-3</v>
      </c>
      <c r="P1819">
        <v>1.613770913149707E-2</v>
      </c>
      <c r="Q1819">
        <v>4.4938288666645978E-4</v>
      </c>
      <c r="R1819">
        <v>6.2079267431992347E-4</v>
      </c>
      <c r="S1819">
        <v>6.2469743985982817E-2</v>
      </c>
      <c r="T1819">
        <v>1.0382459991356785</v>
      </c>
      <c r="U1819">
        <v>0</v>
      </c>
      <c r="V1819">
        <v>9.6460197407612427E-2</v>
      </c>
      <c r="W1819">
        <v>3.6205293115462937E-2</v>
      </c>
      <c r="X1819">
        <v>7.3314951423631963E-3</v>
      </c>
      <c r="Y1819">
        <v>1.6895930152487416E-3</v>
      </c>
    </row>
    <row r="1820" spans="1:25" x14ac:dyDescent="0.25">
      <c r="A1820" s="1096"/>
      <c r="B1820" s="1455">
        <v>1570</v>
      </c>
      <c r="C1820" s="1100">
        <v>0.98681838269545818</v>
      </c>
      <c r="D1820" s="1100">
        <v>0.98311385391508532</v>
      </c>
      <c r="E1820" s="1100">
        <v>0.9831543363814822</v>
      </c>
      <c r="F1820" s="1100">
        <v>1.0159167674274501</v>
      </c>
      <c r="G1820" s="1100">
        <v>1.0273445039404305</v>
      </c>
      <c r="H1820" s="1100">
        <v>1.0033991321249889</v>
      </c>
      <c r="I1820" s="1100">
        <v>1.0118255517221255</v>
      </c>
      <c r="K1820">
        <v>1.3378729536006815</v>
      </c>
      <c r="L1820">
        <v>0</v>
      </c>
      <c r="M1820">
        <v>6.3714762053474307E-4</v>
      </c>
      <c r="N1820">
        <v>5.5679772159142812E-2</v>
      </c>
      <c r="O1820">
        <v>7.915178739847992E-3</v>
      </c>
      <c r="P1820">
        <v>1.6316061537627859E-2</v>
      </c>
      <c r="Q1820">
        <v>4.5053948460427361E-4</v>
      </c>
      <c r="R1820">
        <v>6.3527387693313928E-4</v>
      </c>
      <c r="S1820">
        <v>6.276559651304589E-2</v>
      </c>
      <c r="T1820">
        <v>1.0493246262034144</v>
      </c>
      <c r="U1820">
        <v>0</v>
      </c>
      <c r="V1820">
        <v>9.9354210482501579E-2</v>
      </c>
      <c r="W1820">
        <v>3.6948360619244253E-2</v>
      </c>
      <c r="X1820">
        <v>7.3914755298169219E-3</v>
      </c>
      <c r="Y1820">
        <v>1.7290060750347568E-3</v>
      </c>
    </row>
    <row r="1821" spans="1:25" x14ac:dyDescent="0.25">
      <c r="A1821" s="1096"/>
      <c r="B1821" s="1455">
        <v>1571</v>
      </c>
      <c r="C1821" s="1100">
        <v>1.0330908971176735</v>
      </c>
      <c r="D1821" s="1100">
        <v>1.0091466168375247</v>
      </c>
      <c r="E1821" s="1100">
        <v>1.0266210150217412</v>
      </c>
      <c r="F1821" s="1100">
        <v>0.98105235332245511</v>
      </c>
      <c r="G1821" s="1100">
        <v>1.0236631865578083</v>
      </c>
      <c r="H1821" s="1100">
        <v>1.0270783970432809</v>
      </c>
      <c r="I1821" s="1100">
        <v>0.97198721551566358</v>
      </c>
      <c r="K1821">
        <v>1.2935498023888323</v>
      </c>
      <c r="L1821">
        <v>0</v>
      </c>
      <c r="M1821">
        <v>5.6330300623038407E-4</v>
      </c>
      <c r="N1821">
        <v>5.6135949371207736E-2</v>
      </c>
      <c r="O1821">
        <v>7.4923246772966839E-3</v>
      </c>
      <c r="P1821">
        <v>1.6242469410151693E-2</v>
      </c>
      <c r="Q1821">
        <v>4.4546468598919222E-4</v>
      </c>
      <c r="R1821">
        <v>5.6168461956023115E-4</v>
      </c>
      <c r="S1821">
        <v>5.751017675835382E-2</v>
      </c>
      <c r="T1821">
        <v>1.0120506157016533</v>
      </c>
      <c r="U1821">
        <v>0</v>
      </c>
      <c r="V1821">
        <v>9.8099953826484204E-2</v>
      </c>
      <c r="W1821">
        <v>3.63045987756569E-2</v>
      </c>
      <c r="X1821">
        <v>7.7411471935508996E-3</v>
      </c>
      <c r="Y1821">
        <v>1.5287203751578736E-3</v>
      </c>
    </row>
    <row r="1822" spans="1:25" x14ac:dyDescent="0.25">
      <c r="A1822" s="1096"/>
      <c r="B1822" s="1455">
        <v>1572</v>
      </c>
      <c r="C1822" s="1100">
        <v>0.97216731279988666</v>
      </c>
      <c r="D1822" s="1100">
        <v>1.0352075000076397</v>
      </c>
      <c r="E1822" s="1100">
        <v>1.0026797539540906</v>
      </c>
      <c r="F1822" s="1100">
        <v>0.999496282130933</v>
      </c>
      <c r="G1822" s="1100">
        <v>0.99362940604483641</v>
      </c>
      <c r="H1822" s="1100">
        <v>0.9929669279535861</v>
      </c>
      <c r="I1822" s="1100">
        <v>0.98632248570743564</v>
      </c>
      <c r="K1822">
        <v>1.3162336325762933</v>
      </c>
      <c r="L1822">
        <v>0</v>
      </c>
      <c r="M1822">
        <v>6.0208488070119884E-4</v>
      </c>
      <c r="N1822">
        <v>5.5812854175691019E-2</v>
      </c>
      <c r="O1822">
        <v>7.8750884510592548E-3</v>
      </c>
      <c r="P1822">
        <v>1.6264126113754024E-2</v>
      </c>
      <c r="Q1822">
        <v>4.5717749686801745E-4</v>
      </c>
      <c r="R1822">
        <v>6.0029564829310576E-4</v>
      </c>
      <c r="S1822">
        <v>6.0111163820014843E-2</v>
      </c>
      <c r="T1822">
        <v>1.0317791534841891</v>
      </c>
      <c r="U1822">
        <v>0</v>
      </c>
      <c r="V1822">
        <v>9.8123645996496783E-2</v>
      </c>
      <c r="W1822">
        <v>3.6606962477166868E-2</v>
      </c>
      <c r="X1822">
        <v>7.5714429262132982E-3</v>
      </c>
      <c r="Y1822">
        <v>1.6338068672465576E-3</v>
      </c>
    </row>
    <row r="1823" spans="1:25" x14ac:dyDescent="0.25">
      <c r="A1823" s="1096"/>
      <c r="B1823" s="1455">
        <v>1573</v>
      </c>
      <c r="C1823" s="1100">
        <v>1.0053031648496409</v>
      </c>
      <c r="D1823" s="1100">
        <v>1.0001119554230262</v>
      </c>
      <c r="E1823" s="1100">
        <v>1.0144512217140869</v>
      </c>
      <c r="F1823" s="1100">
        <v>0.99962232898196435</v>
      </c>
      <c r="G1823" s="1100">
        <v>0.97627269734705002</v>
      </c>
      <c r="H1823" s="1100">
        <v>1.0080464467362076</v>
      </c>
      <c r="I1823" s="1100">
        <v>1.0056035490733464</v>
      </c>
      <c r="K1823">
        <v>1.3154955879116221</v>
      </c>
      <c r="L1823">
        <v>0</v>
      </c>
      <c r="M1823">
        <v>5.8481770436535668E-4</v>
      </c>
      <c r="N1823">
        <v>5.6176151753542798E-2</v>
      </c>
      <c r="O1823">
        <v>7.7241868400156387E-3</v>
      </c>
      <c r="P1823">
        <v>1.6390626886239899E-2</v>
      </c>
      <c r="Q1823">
        <v>4.5372914264532778E-4</v>
      </c>
      <c r="R1823">
        <v>5.8310578309931174E-4</v>
      </c>
      <c r="S1823">
        <v>6.08448266923938E-2</v>
      </c>
      <c r="T1823">
        <v>1.0315620239309284</v>
      </c>
      <c r="U1823">
        <v>0</v>
      </c>
      <c r="V1823">
        <v>9.6456740276078173E-2</v>
      </c>
      <c r="W1823">
        <v>3.6590086191341027E-2</v>
      </c>
      <c r="X1823">
        <v>7.7119063988776619E-3</v>
      </c>
      <c r="Y1823">
        <v>1.5870217208265884E-3</v>
      </c>
    </row>
    <row r="1824" spans="1:25" x14ac:dyDescent="0.25">
      <c r="A1824" s="1096"/>
      <c r="B1824" s="1455">
        <v>1574</v>
      </c>
      <c r="C1824" s="1100">
        <v>1.0001266647554896</v>
      </c>
      <c r="D1824" s="1100">
        <v>1.0009904034917676</v>
      </c>
      <c r="E1824" s="1100">
        <v>0.98200277183184903</v>
      </c>
      <c r="F1824" s="1100">
        <v>0.95691997971518439</v>
      </c>
      <c r="G1824" s="1100">
        <v>1.0258034366697848</v>
      </c>
      <c r="H1824" s="1100">
        <v>0.96699574302262936</v>
      </c>
      <c r="I1824" s="1100">
        <v>1.0064707524478351</v>
      </c>
      <c r="K1824">
        <v>1.2669207224590731</v>
      </c>
      <c r="L1824">
        <v>0</v>
      </c>
      <c r="M1824">
        <v>6.0294438400773642E-4</v>
      </c>
      <c r="N1824">
        <v>5.250171770570046E-2</v>
      </c>
      <c r="O1824">
        <v>7.7534810737621834E-3</v>
      </c>
      <c r="P1824">
        <v>1.5438121971654159E-2</v>
      </c>
      <c r="Q1824">
        <v>4.4081998152708634E-4</v>
      </c>
      <c r="R1824">
        <v>6.0110447430134124E-4</v>
      </c>
      <c r="S1824">
        <v>5.9891130347821425E-2</v>
      </c>
      <c r="T1824">
        <v>0.98842113516794039</v>
      </c>
      <c r="U1824">
        <v>0</v>
      </c>
      <c r="V1824">
        <v>9.8944291227326245E-2</v>
      </c>
      <c r="W1824">
        <v>3.4863629959609052E-2</v>
      </c>
      <c r="X1824">
        <v>7.0322267084259905E-3</v>
      </c>
      <c r="Y1824">
        <v>1.6360082250115521E-3</v>
      </c>
    </row>
    <row r="1825" spans="1:25" x14ac:dyDescent="0.25">
      <c r="A1825" s="1096"/>
      <c r="B1825" s="1455">
        <v>1575</v>
      </c>
      <c r="C1825" s="1100">
        <v>0.97797645672639311</v>
      </c>
      <c r="D1825" s="1100">
        <v>0.99400313386849148</v>
      </c>
      <c r="E1825" s="1100">
        <v>0.98328947471231798</v>
      </c>
      <c r="F1825" s="1100">
        <v>1.0110196431999521</v>
      </c>
      <c r="G1825" s="1100">
        <v>0.98092437185124781</v>
      </c>
      <c r="H1825" s="1100">
        <v>1.0165866799379251</v>
      </c>
      <c r="I1825" s="1100">
        <v>0.98530156126473134</v>
      </c>
      <c r="K1825">
        <v>1.3313413604628972</v>
      </c>
      <c r="L1825">
        <v>0</v>
      </c>
      <c r="M1825">
        <v>6.4831279861065694E-4</v>
      </c>
      <c r="N1825">
        <v>5.6680820621741609E-2</v>
      </c>
      <c r="O1825">
        <v>7.9516605976605054E-3</v>
      </c>
      <c r="P1825">
        <v>1.6208210254484927E-2</v>
      </c>
      <c r="Q1825">
        <v>4.5267812828688906E-4</v>
      </c>
      <c r="R1825">
        <v>6.4643095296419456E-4</v>
      </c>
      <c r="S1825">
        <v>6.1716192218445286E-2</v>
      </c>
      <c r="T1825">
        <v>1.0442623275623117</v>
      </c>
      <c r="U1825">
        <v>0</v>
      </c>
      <c r="V1825">
        <v>9.7335942517644242E-2</v>
      </c>
      <c r="W1825">
        <v>3.7609581913882625E-2</v>
      </c>
      <c r="X1825">
        <v>7.3664565360229643E-3</v>
      </c>
      <c r="Y1825">
        <v>1.7593719580621643E-3</v>
      </c>
    </row>
    <row r="1826" spans="1:25" x14ac:dyDescent="0.25">
      <c r="A1826" s="1096"/>
      <c r="B1826" s="1455">
        <v>1576</v>
      </c>
      <c r="C1826" s="1100">
        <v>0.97459545034965378</v>
      </c>
      <c r="D1826" s="1100">
        <v>1.0060655781489098</v>
      </c>
      <c r="E1826" s="1100">
        <v>0.99752362933564798</v>
      </c>
      <c r="F1826" s="1100">
        <v>0.95964399123204835</v>
      </c>
      <c r="G1826" s="1100">
        <v>1.0419166868007883</v>
      </c>
      <c r="H1826" s="1100">
        <v>1.0190108238685598</v>
      </c>
      <c r="I1826" s="1100">
        <v>1.0256810494476054</v>
      </c>
      <c r="K1826">
        <v>1.2838717041449659</v>
      </c>
      <c r="L1826">
        <v>0</v>
      </c>
      <c r="M1826">
        <v>6.3012082850944775E-4</v>
      </c>
      <c r="N1826">
        <v>5.7513280799662406E-2</v>
      </c>
      <c r="O1826">
        <v>7.9444110026914323E-3</v>
      </c>
      <c r="P1826">
        <v>1.5729463485620401E-2</v>
      </c>
      <c r="Q1826">
        <v>4.5881790832915872E-4</v>
      </c>
      <c r="R1826">
        <v>6.2829613949814489E-4</v>
      </c>
      <c r="S1826">
        <v>6.414585351426616E-2</v>
      </c>
      <c r="T1826">
        <v>0.99078693184932953</v>
      </c>
      <c r="U1826">
        <v>0</v>
      </c>
      <c r="V1826">
        <v>0.10039028307550285</v>
      </c>
      <c r="W1826">
        <v>3.7838019943967419E-2</v>
      </c>
      <c r="X1826">
        <v>7.356452280659836E-3</v>
      </c>
      <c r="Y1826">
        <v>1.7100149739472286E-3</v>
      </c>
    </row>
    <row r="1827" spans="1:25" x14ac:dyDescent="0.25">
      <c r="A1827" s="1096"/>
      <c r="B1827" s="1455">
        <v>1577</v>
      </c>
      <c r="C1827" s="1100">
        <v>0.99366077824476917</v>
      </c>
      <c r="D1827" s="1100">
        <v>1.0091290505765633</v>
      </c>
      <c r="E1827" s="1100">
        <v>0.99151472195061841</v>
      </c>
      <c r="F1827" s="1100">
        <v>1.0023249348624592</v>
      </c>
      <c r="G1827" s="1100">
        <v>1.0316771489943124</v>
      </c>
      <c r="H1827" s="1100">
        <v>1.0317648591259785</v>
      </c>
      <c r="I1827" s="1100">
        <v>0.97188521855273502</v>
      </c>
      <c r="K1827">
        <v>1.322047238064288</v>
      </c>
      <c r="L1827">
        <v>0</v>
      </c>
      <c r="M1827">
        <v>6.3283777668577052E-4</v>
      </c>
      <c r="N1827">
        <v>5.6723738738963622E-2</v>
      </c>
      <c r="O1827">
        <v>7.7810336761969393E-3</v>
      </c>
      <c r="P1827">
        <v>1.6187300138939816E-2</v>
      </c>
      <c r="Q1827">
        <v>4.4666798276130515E-4</v>
      </c>
      <c r="R1827">
        <v>6.3102787292570485E-4</v>
      </c>
      <c r="S1827">
        <v>5.9892118853852275E-2</v>
      </c>
      <c r="T1827">
        <v>1.0350332389856063</v>
      </c>
      <c r="U1827">
        <v>0</v>
      </c>
      <c r="V1827">
        <v>9.9400284336454578E-2</v>
      </c>
      <c r="W1827">
        <v>3.7452676839278623E-2</v>
      </c>
      <c r="X1827">
        <v>7.4145385641731284E-3</v>
      </c>
      <c r="Y1827">
        <v>1.7174498518213648E-3</v>
      </c>
    </row>
    <row r="1828" spans="1:25" x14ac:dyDescent="0.25">
      <c r="A1828" s="1096"/>
      <c r="B1828" s="1455">
        <v>1578</v>
      </c>
      <c r="C1828" s="1100">
        <v>1.0014723348392702</v>
      </c>
      <c r="D1828" s="1100">
        <v>0.99992881779076093</v>
      </c>
      <c r="E1828" s="1100">
        <v>0.98535665390158811</v>
      </c>
      <c r="F1828" s="1100">
        <v>1.021643874466883</v>
      </c>
      <c r="G1828" s="1100">
        <v>0.99801972991017496</v>
      </c>
      <c r="H1828" s="1100">
        <v>0.99725133202640304</v>
      </c>
      <c r="I1828" s="1100">
        <v>1.0304504782531645</v>
      </c>
      <c r="K1828">
        <v>1.3388624197439702</v>
      </c>
      <c r="L1828">
        <v>0</v>
      </c>
      <c r="M1828">
        <v>6.1694159781608676E-4</v>
      </c>
      <c r="N1828">
        <v>5.4273339018252674E-2</v>
      </c>
      <c r="O1828">
        <v>7.7471699041419964E-3</v>
      </c>
      <c r="P1828">
        <v>1.6390780493834047E-2</v>
      </c>
      <c r="Q1828">
        <v>4.4196212436297159E-4</v>
      </c>
      <c r="R1828">
        <v>6.1511609188971586E-4</v>
      </c>
      <c r="S1828">
        <v>6.2224387488901099E-2</v>
      </c>
      <c r="T1828">
        <v>1.0551720370015656</v>
      </c>
      <c r="U1828">
        <v>0</v>
      </c>
      <c r="V1828">
        <v>9.7570787821545893E-2</v>
      </c>
      <c r="W1828">
        <v>3.5967369770774471E-2</v>
      </c>
      <c r="X1828">
        <v>7.4022683973576824E-3</v>
      </c>
      <c r="Y1828">
        <v>1.6741432291586115E-3</v>
      </c>
    </row>
    <row r="1829" spans="1:25" x14ac:dyDescent="0.25">
      <c r="A1829" s="1096"/>
      <c r="B1829" s="1455">
        <v>1579</v>
      </c>
      <c r="C1829" s="1100">
        <v>1.0310415540509534</v>
      </c>
      <c r="D1829" s="1100">
        <v>1.0027942820929161</v>
      </c>
      <c r="E1829" s="1100">
        <v>1.0330776302062208</v>
      </c>
      <c r="F1829" s="1100">
        <v>0.99903819706986485</v>
      </c>
      <c r="G1829" s="1100">
        <v>0.98321393549252223</v>
      </c>
      <c r="H1829" s="1100">
        <v>1.0252095064544435</v>
      </c>
      <c r="I1829" s="1100">
        <v>1.0022972946287902</v>
      </c>
      <c r="K1829">
        <v>1.3133038260661789</v>
      </c>
      <c r="L1829">
        <v>0</v>
      </c>
      <c r="M1829">
        <v>5.5727235027547024E-4</v>
      </c>
      <c r="N1829">
        <v>5.6626196443160519E-2</v>
      </c>
      <c r="O1829">
        <v>7.5277453240575973E-3</v>
      </c>
      <c r="P1829">
        <v>1.6577776268583259E-2</v>
      </c>
      <c r="Q1829">
        <v>4.5043716081290556E-4</v>
      </c>
      <c r="R1829">
        <v>5.5566837123377565E-4</v>
      </c>
      <c r="S1829">
        <v>5.9573049771334138E-2</v>
      </c>
      <c r="T1829">
        <v>1.0304184710430015</v>
      </c>
      <c r="U1829">
        <v>0</v>
      </c>
      <c r="V1829">
        <v>9.6197674602811714E-2</v>
      </c>
      <c r="W1829">
        <v>3.6484640431403828E-2</v>
      </c>
      <c r="X1829">
        <v>7.9370928695856151E-3</v>
      </c>
      <c r="Y1829">
        <v>1.5123461304689899E-3</v>
      </c>
    </row>
    <row r="1830" spans="1:25" x14ac:dyDescent="0.25">
      <c r="A1830" s="1096"/>
      <c r="B1830" s="1455">
        <v>1580</v>
      </c>
      <c r="C1830" s="1100">
        <v>1.0182536490599876</v>
      </c>
      <c r="D1830" s="1100">
        <v>0.96524123396638084</v>
      </c>
      <c r="E1830" s="1100">
        <v>0.97456756900743979</v>
      </c>
      <c r="F1830" s="1100">
        <v>1.0372645836671608</v>
      </c>
      <c r="G1830" s="1100">
        <v>1.0011737190609262</v>
      </c>
      <c r="H1830" s="1100">
        <v>0.98782504323001263</v>
      </c>
      <c r="I1830" s="1100">
        <v>0.99956058099978373</v>
      </c>
      <c r="K1830">
        <v>1.3512292601550391</v>
      </c>
      <c r="L1830">
        <v>0</v>
      </c>
      <c r="M1830">
        <v>6.2333937289281069E-4</v>
      </c>
      <c r="N1830">
        <v>5.3073478587858609E-2</v>
      </c>
      <c r="O1830">
        <v>7.7252323074073906E-3</v>
      </c>
      <c r="P1830">
        <v>1.6446758160227594E-2</v>
      </c>
      <c r="Q1830">
        <v>4.359040801921945E-4</v>
      </c>
      <c r="R1830">
        <v>6.2147733572360717E-4</v>
      </c>
      <c r="S1830">
        <v>6.020372837416179E-2</v>
      </c>
      <c r="T1830">
        <v>1.0716451913075697</v>
      </c>
      <c r="U1830">
        <v>0</v>
      </c>
      <c r="V1830">
        <v>9.7303748322180236E-2</v>
      </c>
      <c r="W1830">
        <v>3.5402105074283187E-2</v>
      </c>
      <c r="X1830">
        <v>7.3035195404345405E-3</v>
      </c>
      <c r="Y1830">
        <v>1.6914564378909976E-3</v>
      </c>
    </row>
    <row r="1831" spans="1:25" x14ac:dyDescent="0.25">
      <c r="A1831" s="1096"/>
      <c r="B1831" s="1455">
        <v>1581</v>
      </c>
      <c r="C1831" s="1100">
        <v>0.97692421139449603</v>
      </c>
      <c r="D1831" s="1100">
        <v>0.97029330483780651</v>
      </c>
      <c r="E1831" s="1100">
        <v>0.9751902823684756</v>
      </c>
      <c r="F1831" s="1100">
        <v>1.0398979048854953</v>
      </c>
      <c r="G1831" s="1100">
        <v>1.005755663438745</v>
      </c>
      <c r="H1831" s="1100">
        <v>1.0122762601668138</v>
      </c>
      <c r="I1831" s="1100">
        <v>0.99722904212007213</v>
      </c>
      <c r="K1831">
        <v>1.3647033033690268</v>
      </c>
      <c r="L1831">
        <v>0</v>
      </c>
      <c r="M1831">
        <v>6.6354909186489225E-4</v>
      </c>
      <c r="N1831">
        <v>5.66077708081184E-2</v>
      </c>
      <c r="O1831">
        <v>8.035414930038438E-3</v>
      </c>
      <c r="P1831">
        <v>1.6547630969760557E-2</v>
      </c>
      <c r="Q1831">
        <v>4.5369433264212525E-4</v>
      </c>
      <c r="R1831">
        <v>6.6161481861590123E-4</v>
      </c>
      <c r="S1831">
        <v>6.320039769367447E-2</v>
      </c>
      <c r="T1831">
        <v>1.074346034058923</v>
      </c>
      <c r="U1831">
        <v>0</v>
      </c>
      <c r="V1831">
        <v>9.8555306757967212E-2</v>
      </c>
      <c r="W1831">
        <v>3.7745364448021637E-2</v>
      </c>
      <c r="X1831">
        <v>7.4129262081237442E-3</v>
      </c>
      <c r="Y1831">
        <v>1.8006974350061426E-3</v>
      </c>
    </row>
    <row r="1832" spans="1:25" x14ac:dyDescent="0.25">
      <c r="A1832" s="1096"/>
      <c r="B1832" s="1455">
        <v>1582</v>
      </c>
      <c r="C1832" s="1100">
        <v>0.99151994505939811</v>
      </c>
      <c r="D1832" s="1100">
        <v>0.97953428026698808</v>
      </c>
      <c r="E1832" s="1100">
        <v>0.99123654614782419</v>
      </c>
      <c r="F1832" s="1100">
        <v>1.0005249034492003</v>
      </c>
      <c r="G1832" s="1100">
        <v>1.0048897603411224</v>
      </c>
      <c r="H1832" s="1100">
        <v>0.96366548177036504</v>
      </c>
      <c r="I1832" s="1100">
        <v>1.0071380498861988</v>
      </c>
      <c r="K1832">
        <v>1.315111422641432</v>
      </c>
      <c r="L1832">
        <v>0</v>
      </c>
      <c r="M1832">
        <v>5.9978520358363316E-4</v>
      </c>
      <c r="N1832">
        <v>5.370502713042339E-2</v>
      </c>
      <c r="O1832">
        <v>7.8911627249491773E-3</v>
      </c>
      <c r="P1832">
        <v>1.6157917644956405E-2</v>
      </c>
      <c r="Q1832">
        <v>4.5286265653813224E-4</v>
      </c>
      <c r="R1832">
        <v>5.9794860915255766E-4</v>
      </c>
      <c r="S1832">
        <v>6.1066077393866769E-2</v>
      </c>
      <c r="T1832">
        <v>1.0331828240521623</v>
      </c>
      <c r="U1832">
        <v>0</v>
      </c>
      <c r="V1832">
        <v>9.8157999781176286E-2</v>
      </c>
      <c r="W1832">
        <v>3.5465431608476178E-2</v>
      </c>
      <c r="X1832">
        <v>7.4065372429056022E-3</v>
      </c>
      <c r="Y1832">
        <v>1.6274190004072302E-3</v>
      </c>
    </row>
    <row r="1833" spans="1:25" x14ac:dyDescent="0.25">
      <c r="A1833" s="1096"/>
      <c r="B1833" s="1455">
        <v>1583</v>
      </c>
      <c r="C1833" s="1100">
        <v>1.0268202600183103</v>
      </c>
      <c r="D1833" s="1100">
        <v>1.0023176039524886</v>
      </c>
      <c r="E1833" s="1100">
        <v>0.99251625572376245</v>
      </c>
      <c r="F1833" s="1100">
        <v>0.98350814612398241</v>
      </c>
      <c r="G1833" s="1100">
        <v>1.0184058477730902</v>
      </c>
      <c r="H1833" s="1100">
        <v>0.99181716911791828</v>
      </c>
      <c r="I1833" s="1100">
        <v>1.0027563153673924</v>
      </c>
      <c r="K1833">
        <v>1.2929937374941975</v>
      </c>
      <c r="L1833">
        <v>0</v>
      </c>
      <c r="M1833">
        <v>5.8906392525017478E-4</v>
      </c>
      <c r="N1833">
        <v>5.295409936337122E-2</v>
      </c>
      <c r="O1833">
        <v>7.5504232226160893E-3</v>
      </c>
      <c r="P1833">
        <v>1.5901467759271669E-2</v>
      </c>
      <c r="Q1833">
        <v>4.3386835571660555E-4</v>
      </c>
      <c r="R1833">
        <v>5.8731135827644288E-4</v>
      </c>
      <c r="S1833">
        <v>5.8826650804080928E-2</v>
      </c>
      <c r="T1833">
        <v>1.0155728588569692</v>
      </c>
      <c r="U1833">
        <v>0</v>
      </c>
      <c r="V1833">
        <v>9.7954086923435782E-2</v>
      </c>
      <c r="W1833">
        <v>3.4942779558550373E-2</v>
      </c>
      <c r="X1833">
        <v>7.2607873070683051E-3</v>
      </c>
      <c r="Y1833">
        <v>1.5984679100912544E-3</v>
      </c>
    </row>
    <row r="1834" spans="1:25" x14ac:dyDescent="0.25">
      <c r="A1834" s="1096"/>
      <c r="B1834" s="1455">
        <v>1584</v>
      </c>
      <c r="C1834" s="1100">
        <v>1.0361870387419114</v>
      </c>
      <c r="D1834" s="1100">
        <v>0.97956116983236219</v>
      </c>
      <c r="E1834" s="1100">
        <v>1.030195327169853</v>
      </c>
      <c r="F1834" s="1100">
        <v>0.99480411734849994</v>
      </c>
      <c r="G1834" s="1100">
        <v>0.96041449138043744</v>
      </c>
      <c r="H1834" s="1100">
        <v>1.0146883818694974</v>
      </c>
      <c r="I1834" s="1100">
        <v>0.97915130111631221</v>
      </c>
      <c r="K1834">
        <v>1.3056415092173612</v>
      </c>
      <c r="L1834">
        <v>0</v>
      </c>
      <c r="M1834">
        <v>5.5732269760389421E-4</v>
      </c>
      <c r="N1834">
        <v>5.613975760671748E-2</v>
      </c>
      <c r="O1834">
        <v>7.5602352580562207E-3</v>
      </c>
      <c r="P1834">
        <v>1.6448954783830138E-2</v>
      </c>
      <c r="Q1834">
        <v>4.5109508884337969E-4</v>
      </c>
      <c r="R1834">
        <v>5.5570194077119155E-4</v>
      </c>
      <c r="S1834">
        <v>5.8329996287890803E-2</v>
      </c>
      <c r="T1834">
        <v>1.0261340533177798</v>
      </c>
      <c r="U1834">
        <v>0</v>
      </c>
      <c r="V1834">
        <v>9.4971859524012783E-2</v>
      </c>
      <c r="W1834">
        <v>3.6231715820917547E-2</v>
      </c>
      <c r="X1834">
        <v>7.8630247904632085E-3</v>
      </c>
      <c r="Y1834">
        <v>1.512437495683641E-3</v>
      </c>
    </row>
    <row r="1835" spans="1:25" x14ac:dyDescent="0.25">
      <c r="A1835" s="1096"/>
      <c r="B1835" s="1455">
        <v>1585</v>
      </c>
      <c r="C1835" s="1100">
        <v>1.0307506306899388</v>
      </c>
      <c r="D1835" s="1100">
        <v>0.99728964281952337</v>
      </c>
      <c r="E1835" s="1100">
        <v>0.97181388593595353</v>
      </c>
      <c r="F1835" s="1100">
        <v>1.0050457584479755</v>
      </c>
      <c r="G1835" s="1100">
        <v>0.95654341011539623</v>
      </c>
      <c r="H1835" s="1100">
        <v>0.99788992177787261</v>
      </c>
      <c r="I1835" s="1100">
        <v>0.97641561578856162</v>
      </c>
      <c r="K1835">
        <v>1.310216405619236</v>
      </c>
      <c r="L1835">
        <v>0</v>
      </c>
      <c r="M1835">
        <v>6.1748375457117328E-4</v>
      </c>
      <c r="N1835">
        <v>5.2140047849329747E-2</v>
      </c>
      <c r="O1835">
        <v>7.5318566935926147E-3</v>
      </c>
      <c r="P1835">
        <v>1.5898256897920536E-2</v>
      </c>
      <c r="Q1835">
        <v>4.2380033534726314E-4</v>
      </c>
      <c r="R1835">
        <v>6.1565781366528926E-4</v>
      </c>
      <c r="S1835">
        <v>5.7373958435768882E-2</v>
      </c>
      <c r="T1835">
        <v>1.0384430549615056</v>
      </c>
      <c r="U1835">
        <v>0</v>
      </c>
      <c r="V1835">
        <v>9.4847098701831084E-2</v>
      </c>
      <c r="W1835">
        <v>3.4837660895880064E-2</v>
      </c>
      <c r="X1835">
        <v>7.0468791717108641E-3</v>
      </c>
      <c r="Y1835">
        <v>1.6756176172531873E-3</v>
      </c>
    </row>
    <row r="1836" spans="1:25" x14ac:dyDescent="0.25">
      <c r="A1836" s="1096"/>
      <c r="B1836" s="1455">
        <v>1586</v>
      </c>
      <c r="C1836" s="1100">
        <v>0.96412995137226332</v>
      </c>
      <c r="D1836" s="1100">
        <v>1.0027427625386793</v>
      </c>
      <c r="E1836" s="1100">
        <v>1.0019044595422568</v>
      </c>
      <c r="F1836" s="1100">
        <v>1.0022596548452856</v>
      </c>
      <c r="G1836" s="1100">
        <v>1.0125486821545575</v>
      </c>
      <c r="H1836" s="1100">
        <v>0.95353210386508203</v>
      </c>
      <c r="I1836" s="1100">
        <v>1.0041970647397651</v>
      </c>
      <c r="K1836">
        <v>1.3200526099937608</v>
      </c>
      <c r="L1836">
        <v>0</v>
      </c>
      <c r="M1836">
        <v>5.9142206901082123E-4</v>
      </c>
      <c r="N1836">
        <v>5.4689431533017786E-2</v>
      </c>
      <c r="O1836">
        <v>8.042394606365558E-3</v>
      </c>
      <c r="P1836">
        <v>1.6328679285819828E-2</v>
      </c>
      <c r="Q1836">
        <v>4.6652697743681181E-4</v>
      </c>
      <c r="R1836">
        <v>5.895918375137389E-4</v>
      </c>
      <c r="S1836">
        <v>6.1520616976947336E-2</v>
      </c>
      <c r="T1836">
        <v>1.0346548565623854</v>
      </c>
      <c r="U1836">
        <v>0</v>
      </c>
      <c r="V1836">
        <v>9.9250560942433258E-2</v>
      </c>
      <c r="W1836">
        <v>3.588662602985563E-2</v>
      </c>
      <c r="X1836">
        <v>7.610072688180136E-3</v>
      </c>
      <c r="Y1836">
        <v>1.6046746228153964E-3</v>
      </c>
    </row>
    <row r="1837" spans="1:25" x14ac:dyDescent="0.25">
      <c r="A1837" s="1096"/>
      <c r="B1837" s="1455">
        <v>1587</v>
      </c>
      <c r="C1837" s="1100">
        <v>0.97528067220806736</v>
      </c>
      <c r="D1837" s="1100">
        <v>1.0317691479590787</v>
      </c>
      <c r="E1837" s="1100">
        <v>1.0032818750005292</v>
      </c>
      <c r="F1837" s="1100">
        <v>1.0119569690683927</v>
      </c>
      <c r="G1837" s="1100">
        <v>0.99765704199143734</v>
      </c>
      <c r="H1837" s="1100">
        <v>0.99899353517341294</v>
      </c>
      <c r="I1837" s="1100">
        <v>1.0095864074272209</v>
      </c>
      <c r="K1837">
        <v>1.3314129198374931</v>
      </c>
      <c r="L1837">
        <v>0</v>
      </c>
      <c r="M1837">
        <v>6.0385446821974002E-4</v>
      </c>
      <c r="N1837">
        <v>5.6079802075455244E-2</v>
      </c>
      <c r="O1837">
        <v>7.8605522612479155E-3</v>
      </c>
      <c r="P1837">
        <v>1.6469385386865262E-2</v>
      </c>
      <c r="Q1837">
        <v>4.5660943762125983E-4</v>
      </c>
      <c r="R1837">
        <v>6.0207080266797333E-4</v>
      </c>
      <c r="S1837">
        <v>6.1630736459532313E-2</v>
      </c>
      <c r="T1837">
        <v>1.0446242275212758</v>
      </c>
      <c r="U1837">
        <v>0</v>
      </c>
      <c r="V1837">
        <v>9.8237790055201071E-2</v>
      </c>
      <c r="W1837">
        <v>3.6768920476043541E-2</v>
      </c>
      <c r="X1837">
        <v>7.6480415775270075E-3</v>
      </c>
      <c r="Y1837">
        <v>1.6386382522754646E-3</v>
      </c>
    </row>
    <row r="1838" spans="1:25" x14ac:dyDescent="0.25">
      <c r="A1838" s="1096"/>
      <c r="B1838" s="1455">
        <v>1588</v>
      </c>
      <c r="C1838" s="1100">
        <v>0.98100838032430471</v>
      </c>
      <c r="D1838" s="1100">
        <v>0.97702893585058315</v>
      </c>
      <c r="E1838" s="1100">
        <v>0.98589528677343552</v>
      </c>
      <c r="F1838" s="1100">
        <v>1.0110030767036207</v>
      </c>
      <c r="G1838" s="1100">
        <v>1.0111683106462654</v>
      </c>
      <c r="H1838" s="1100">
        <v>0.9558366641821715</v>
      </c>
      <c r="I1838" s="1100">
        <v>1.0179429436574425</v>
      </c>
      <c r="K1838">
        <v>1.3280027732817097</v>
      </c>
      <c r="L1838">
        <v>0</v>
      </c>
      <c r="M1838">
        <v>6.0859709718538528E-4</v>
      </c>
      <c r="N1838">
        <v>5.3619653269491092E-2</v>
      </c>
      <c r="O1838">
        <v>7.9825448589567766E-3</v>
      </c>
      <c r="P1838">
        <v>1.6264333008831757E-2</v>
      </c>
      <c r="Q1838">
        <v>4.5563844197983166E-4</v>
      </c>
      <c r="R1838">
        <v>6.0671825626802635E-4</v>
      </c>
      <c r="S1838">
        <v>6.2213128698919526E-2</v>
      </c>
      <c r="T1838">
        <v>1.0441655884678815</v>
      </c>
      <c r="U1838">
        <v>0</v>
      </c>
      <c r="V1838">
        <v>9.8723509797855602E-2</v>
      </c>
      <c r="W1838">
        <v>3.5522663225638774E-2</v>
      </c>
      <c r="X1838">
        <v>7.406305264130426E-3</v>
      </c>
      <c r="Y1838">
        <v>1.6512870889421416E-3</v>
      </c>
    </row>
    <row r="1839" spans="1:25" x14ac:dyDescent="0.25">
      <c r="A1839" s="1096"/>
      <c r="B1839" s="1455">
        <v>1589</v>
      </c>
      <c r="C1839" s="1100">
        <v>0.9590204118468274</v>
      </c>
      <c r="D1839" s="1100">
        <v>0.98784766580681205</v>
      </c>
      <c r="E1839" s="1100">
        <v>1.0274482027567577</v>
      </c>
      <c r="F1839" s="1100">
        <v>0.98219664112667049</v>
      </c>
      <c r="G1839" s="1100">
        <v>1.0018880977527311</v>
      </c>
      <c r="H1839" s="1100">
        <v>0.98706853545495554</v>
      </c>
      <c r="I1839" s="1100">
        <v>0.95760684417871378</v>
      </c>
      <c r="K1839">
        <v>1.3036552602242315</v>
      </c>
      <c r="L1839">
        <v>0</v>
      </c>
      <c r="M1839">
        <v>5.8715657687628277E-4</v>
      </c>
      <c r="N1839">
        <v>5.8652348700885371E-2</v>
      </c>
      <c r="O1839">
        <v>8.1403745404079134E-3</v>
      </c>
      <c r="P1839">
        <v>1.6321285591247996E-2</v>
      </c>
      <c r="Q1839">
        <v>4.8439186396508364E-4</v>
      </c>
      <c r="R1839">
        <v>5.854012805656839E-4</v>
      </c>
      <c r="S1839">
        <v>6.0509799328602926E-2</v>
      </c>
      <c r="T1839">
        <v>1.0132075283052238</v>
      </c>
      <c r="U1839">
        <v>0</v>
      </c>
      <c r="V1839">
        <v>9.8900909191746961E-2</v>
      </c>
      <c r="W1839">
        <v>3.7913769002546401E-2</v>
      </c>
      <c r="X1839">
        <v>7.9333396876946419E-3</v>
      </c>
      <c r="Y1839">
        <v>1.5932693082195172E-3</v>
      </c>
    </row>
    <row r="1840" spans="1:25" x14ac:dyDescent="0.25">
      <c r="A1840" s="1096"/>
      <c r="B1840" s="1455">
        <v>1590</v>
      </c>
      <c r="C1840" s="1100">
        <v>1.0274299907493738</v>
      </c>
      <c r="D1840" s="1100">
        <v>0.98884189588119653</v>
      </c>
      <c r="E1840" s="1100">
        <v>1.0053672428679543</v>
      </c>
      <c r="F1840" s="1100">
        <v>1.0142039428193776</v>
      </c>
      <c r="G1840" s="1100">
        <v>0.97594195237374803</v>
      </c>
      <c r="H1840" s="1100">
        <v>0.9621236366415109</v>
      </c>
      <c r="I1840" s="1100">
        <v>0.9890659355926833</v>
      </c>
      <c r="K1840">
        <v>1.3203462477436729</v>
      </c>
      <c r="L1840">
        <v>0</v>
      </c>
      <c r="M1840">
        <v>5.5908811424065211E-4</v>
      </c>
      <c r="N1840">
        <v>5.2244487854266657E-2</v>
      </c>
      <c r="O1840">
        <v>7.5899928601879749E-3</v>
      </c>
      <c r="P1840">
        <v>1.6437851824001603E-2</v>
      </c>
      <c r="Q1840">
        <v>4.4181593031276354E-4</v>
      </c>
      <c r="R1840">
        <v>5.5737339431790646E-4</v>
      </c>
      <c r="S1840">
        <v>5.7547400216120898E-2</v>
      </c>
      <c r="T1840">
        <v>1.0468810559914909</v>
      </c>
      <c r="U1840">
        <v>0</v>
      </c>
      <c r="V1840">
        <v>9.5899694175265449E-2</v>
      </c>
      <c r="W1840">
        <v>3.4211998172731406E-2</v>
      </c>
      <c r="X1840">
        <v>7.5766787979748224E-3</v>
      </c>
      <c r="Y1840">
        <v>1.5169866412432849E-3</v>
      </c>
    </row>
    <row r="1841" spans="1:25" x14ac:dyDescent="0.25">
      <c r="A1841" s="1096"/>
      <c r="B1841" s="1455">
        <v>1591</v>
      </c>
      <c r="C1841" s="1100">
        <v>0.99927521209435699</v>
      </c>
      <c r="D1841" s="1100">
        <v>1.0383283631378903</v>
      </c>
      <c r="E1841" s="1100">
        <v>1.0266011871066021</v>
      </c>
      <c r="F1841" s="1100">
        <v>0.97332436316468518</v>
      </c>
      <c r="G1841" s="1100">
        <v>1.0318110591117007</v>
      </c>
      <c r="H1841" s="1100">
        <v>0.98893195196523209</v>
      </c>
      <c r="I1841" s="1100">
        <v>0.99369534712195295</v>
      </c>
      <c r="K1841">
        <v>1.2865921167998218</v>
      </c>
      <c r="L1841">
        <v>0</v>
      </c>
      <c r="M1841">
        <v>5.5440106881222593E-4</v>
      </c>
      <c r="N1841">
        <v>5.5239383803064604E-2</v>
      </c>
      <c r="O1841">
        <v>7.6580387002460745E-3</v>
      </c>
      <c r="P1841">
        <v>1.6165047449846183E-2</v>
      </c>
      <c r="Q1841">
        <v>4.5530845925048294E-4</v>
      </c>
      <c r="R1841">
        <v>5.5274681757459451E-4</v>
      </c>
      <c r="S1841">
        <v>5.8724695257572256E-2</v>
      </c>
      <c r="T1841">
        <v>1.0040790038192795</v>
      </c>
      <c r="U1841">
        <v>0</v>
      </c>
      <c r="V1841">
        <v>9.930631471668587E-2</v>
      </c>
      <c r="W1841">
        <v>3.5725178456254586E-2</v>
      </c>
      <c r="X1841">
        <v>7.7364057643596875E-3</v>
      </c>
      <c r="Y1841">
        <v>1.5043946244986037E-3</v>
      </c>
    </row>
    <row r="1842" spans="1:25" x14ac:dyDescent="0.25">
      <c r="A1842" s="1096"/>
      <c r="B1842" s="1455">
        <v>1592</v>
      </c>
      <c r="C1842" s="1100">
        <v>0.98816567855257464</v>
      </c>
      <c r="D1842" s="1100">
        <v>0.98245796559090082</v>
      </c>
      <c r="E1842" s="1100">
        <v>1.0079713019444514</v>
      </c>
      <c r="F1842" s="1100">
        <v>0.97880061927782636</v>
      </c>
      <c r="G1842" s="1100">
        <v>1.0318215854220119</v>
      </c>
      <c r="H1842" s="1100">
        <v>1.0340186609899236</v>
      </c>
      <c r="I1842" s="1100">
        <v>0.97289517256676716</v>
      </c>
      <c r="K1842">
        <v>1.3018483644550403</v>
      </c>
      <c r="L1842">
        <v>0</v>
      </c>
      <c r="M1842">
        <v>6.2298425015262435E-4</v>
      </c>
      <c r="N1842">
        <v>5.8687454999095702E-2</v>
      </c>
      <c r="O1842">
        <v>7.9127016001443139E-3</v>
      </c>
      <c r="P1842">
        <v>1.6068227572488308E-2</v>
      </c>
      <c r="Q1842">
        <v>4.6180368391432106E-4</v>
      </c>
      <c r="R1842">
        <v>6.2120641082478686E-4</v>
      </c>
      <c r="S1842">
        <v>6.1241269690800619E-2</v>
      </c>
      <c r="T1842">
        <v>1.0102616952771959</v>
      </c>
      <c r="U1842">
        <v>0</v>
      </c>
      <c r="V1842">
        <v>9.9564554934026828E-2</v>
      </c>
      <c r="W1842">
        <v>3.8372015032324056E-2</v>
      </c>
      <c r="X1842">
        <v>7.5897004347493602E-3</v>
      </c>
      <c r="Y1842">
        <v>1.6907190696267772E-3</v>
      </c>
    </row>
    <row r="1843" spans="1:25" x14ac:dyDescent="0.25">
      <c r="A1843" s="1096"/>
      <c r="B1843" s="1455">
        <v>1593</v>
      </c>
      <c r="C1843" s="1100">
        <v>0.96999741264214789</v>
      </c>
      <c r="D1843" s="1100">
        <v>0.99423221513510307</v>
      </c>
      <c r="E1843" s="1100">
        <v>0.99220100566038183</v>
      </c>
      <c r="F1843" s="1100">
        <v>0.99517372202674115</v>
      </c>
      <c r="G1843" s="1100">
        <v>1.018916882882968</v>
      </c>
      <c r="H1843" s="1100">
        <v>0.96541954539406949</v>
      </c>
      <c r="I1843" s="1100">
        <v>1.0061887954102107</v>
      </c>
      <c r="K1843">
        <v>1.3134633882038735</v>
      </c>
      <c r="L1843">
        <v>0</v>
      </c>
      <c r="M1843">
        <v>6.0934242108671814E-4</v>
      </c>
      <c r="N1843">
        <v>5.472040018101279E-2</v>
      </c>
      <c r="O1843">
        <v>8.0185867880146113E-3</v>
      </c>
      <c r="P1843">
        <v>1.6122645695405027E-2</v>
      </c>
      <c r="Q1843">
        <v>4.6062373227411907E-4</v>
      </c>
      <c r="R1843">
        <v>6.0747995169110577E-4</v>
      </c>
      <c r="S1843">
        <v>6.1919966084057455E-2</v>
      </c>
      <c r="T1843">
        <v>1.0276281700485383</v>
      </c>
      <c r="U1843">
        <v>0</v>
      </c>
      <c r="V1843">
        <v>9.9392152555857025E-2</v>
      </c>
      <c r="W1843">
        <v>3.6115114208389101E-2</v>
      </c>
      <c r="X1843">
        <v>7.4342312069280957E-3</v>
      </c>
      <c r="Y1843">
        <v>1.6533601727909352E-3</v>
      </c>
    </row>
    <row r="1844" spans="1:25" x14ac:dyDescent="0.25">
      <c r="A1844" s="1096"/>
      <c r="B1844" s="1455">
        <v>1594</v>
      </c>
      <c r="C1844" s="1100">
        <v>0.99707178429013799</v>
      </c>
      <c r="D1844" s="1100">
        <v>1.0383807782530194</v>
      </c>
      <c r="E1844" s="1100">
        <v>0.96352926063123234</v>
      </c>
      <c r="F1844" s="1100">
        <v>1.0104853718996543</v>
      </c>
      <c r="G1844" s="1100">
        <v>1.0199031561369329</v>
      </c>
      <c r="H1844" s="1100">
        <v>0.9831502044615118</v>
      </c>
      <c r="I1844" s="1100">
        <v>1.0362204038490204</v>
      </c>
      <c r="K1844">
        <v>1.3235946184631904</v>
      </c>
      <c r="L1844">
        <v>0</v>
      </c>
      <c r="M1844">
        <v>6.2950746171710104E-4</v>
      </c>
      <c r="N1844">
        <v>5.1835984726996374E-2</v>
      </c>
      <c r="O1844">
        <v>7.6595242592240424E-3</v>
      </c>
      <c r="P1844">
        <v>1.5976535578345153E-2</v>
      </c>
      <c r="Q1844">
        <v>4.2734522853338404E-4</v>
      </c>
      <c r="R1844">
        <v>6.2761805773315282E-4</v>
      </c>
      <c r="S1844">
        <v>6.1128509776415027E-2</v>
      </c>
      <c r="T1844">
        <v>1.0443207042781877</v>
      </c>
      <c r="U1844">
        <v>0</v>
      </c>
      <c r="V1844">
        <v>9.8714267850076295E-2</v>
      </c>
      <c r="W1844">
        <v>3.4809903295561821E-2</v>
      </c>
      <c r="X1844">
        <v>7.0155634149231469E-3</v>
      </c>
      <c r="Y1844">
        <v>1.7081694589125144E-3</v>
      </c>
    </row>
    <row r="1845" spans="1:25" x14ac:dyDescent="0.25">
      <c r="A1845" s="1096"/>
      <c r="B1845" s="1455">
        <v>1595</v>
      </c>
      <c r="C1845" s="1100">
        <v>1.0422398312459307</v>
      </c>
      <c r="D1845" s="1100">
        <v>0.99970761536527952</v>
      </c>
      <c r="E1845" s="1100">
        <v>1.0038410949078318</v>
      </c>
      <c r="F1845" s="1100">
        <v>0.97192469111443269</v>
      </c>
      <c r="G1845" s="1100">
        <v>0.98412761512821478</v>
      </c>
      <c r="H1845" s="1100">
        <v>0.97374108302688955</v>
      </c>
      <c r="I1845" s="1100">
        <v>1.0128886493497102</v>
      </c>
      <c r="K1845">
        <v>1.2756681515820745</v>
      </c>
      <c r="L1845">
        <v>0</v>
      </c>
      <c r="M1845">
        <v>5.5712777384865121E-4</v>
      </c>
      <c r="N1845">
        <v>5.1823792118714199E-2</v>
      </c>
      <c r="O1845">
        <v>7.449146396717855E-3</v>
      </c>
      <c r="P1845">
        <v>1.5831139762677974E-2</v>
      </c>
      <c r="Q1845">
        <v>4.3295422004776141E-4</v>
      </c>
      <c r="R1845">
        <v>5.5543945241468592E-4</v>
      </c>
      <c r="S1845">
        <v>5.8098151385765628E-2</v>
      </c>
      <c r="T1845">
        <v>1.0032835364424304</v>
      </c>
      <c r="U1845">
        <v>0</v>
      </c>
      <c r="V1845">
        <v>9.5951247815978843E-2</v>
      </c>
      <c r="W1845">
        <v>3.3967192659445235E-2</v>
      </c>
      <c r="X1845">
        <v>7.3209560128218512E-3</v>
      </c>
      <c r="Y1845">
        <v>1.5117230889064965E-3</v>
      </c>
    </row>
    <row r="1846" spans="1:25" x14ac:dyDescent="0.25">
      <c r="A1846" s="1096"/>
      <c r="B1846" s="1455">
        <v>1596</v>
      </c>
      <c r="C1846" s="1100">
        <v>1.0197917248445176</v>
      </c>
      <c r="D1846" s="1100">
        <v>0.97699074968533728</v>
      </c>
      <c r="E1846" s="1100">
        <v>1.0116768519492414</v>
      </c>
      <c r="F1846" s="1100">
        <v>1.0081136576934693</v>
      </c>
      <c r="G1846" s="1100">
        <v>1.0432024402666671</v>
      </c>
      <c r="H1846" s="1100">
        <v>1.0193520065138058</v>
      </c>
      <c r="I1846" s="1100">
        <v>0.97739108088114768</v>
      </c>
      <c r="K1846">
        <v>1.3262286112449826</v>
      </c>
      <c r="L1846">
        <v>0</v>
      </c>
      <c r="M1846">
        <v>5.9185773400934635E-4</v>
      </c>
      <c r="N1846">
        <v>5.6380145022577426E-2</v>
      </c>
      <c r="O1846">
        <v>7.6853462245712262E-3</v>
      </c>
      <c r="P1846">
        <v>1.6498142222714108E-2</v>
      </c>
      <c r="Q1846">
        <v>4.5019940573704518E-4</v>
      </c>
      <c r="R1846">
        <v>5.9014442001078659E-4</v>
      </c>
      <c r="S1846">
        <v>5.9364650197817781E-2</v>
      </c>
      <c r="T1846">
        <v>1.0404068283293668</v>
      </c>
      <c r="U1846">
        <v>0</v>
      </c>
      <c r="V1846">
        <v>9.93414505320558E-2</v>
      </c>
      <c r="W1846">
        <v>3.6782938437333365E-2</v>
      </c>
      <c r="X1846">
        <v>7.7144456165938466E-3</v>
      </c>
      <c r="Y1846">
        <v>1.6061785702135888E-3</v>
      </c>
    </row>
    <row r="1847" spans="1:25" x14ac:dyDescent="0.25">
      <c r="A1847" s="1096"/>
      <c r="B1847" s="1455">
        <v>1597</v>
      </c>
      <c r="C1847" s="1100">
        <v>0.97278180112924906</v>
      </c>
      <c r="D1847" s="1100">
        <v>1.0278239542108165</v>
      </c>
      <c r="E1847" s="1100">
        <v>1.0121664515995448</v>
      </c>
      <c r="F1847" s="1100">
        <v>1.0377011852948677</v>
      </c>
      <c r="G1847" s="1100">
        <v>0.96780311855303836</v>
      </c>
      <c r="H1847" s="1100">
        <v>0.9703191489977081</v>
      </c>
      <c r="I1847" s="1100">
        <v>0.95611197252551328</v>
      </c>
      <c r="K1847">
        <v>1.351378873866613</v>
      </c>
      <c r="L1847">
        <v>0</v>
      </c>
      <c r="M1847">
        <v>5.7816341857579862E-4</v>
      </c>
      <c r="N1847">
        <v>5.51489937529532E-2</v>
      </c>
      <c r="O1847">
        <v>7.8950503610258783E-3</v>
      </c>
      <c r="P1847">
        <v>1.686846488269246E-2</v>
      </c>
      <c r="Q1847">
        <v>4.627098163886778E-4</v>
      </c>
      <c r="R1847">
        <v>5.7640517181568548E-4</v>
      </c>
      <c r="S1847">
        <v>5.7793540647260194E-2</v>
      </c>
      <c r="T1847">
        <v>1.0709271987667053</v>
      </c>
      <c r="U1847">
        <v>0</v>
      </c>
      <c r="V1847">
        <v>9.6868750219426314E-2</v>
      </c>
      <c r="W1847">
        <v>3.5969353408770048E-2</v>
      </c>
      <c r="X1847">
        <v>7.877785392381341E-3</v>
      </c>
      <c r="Y1847">
        <v>1.5687848657684738E-3</v>
      </c>
    </row>
    <row r="1848" spans="1:25" x14ac:dyDescent="0.25">
      <c r="A1848" s="1096"/>
      <c r="B1848" s="1455">
        <v>1598</v>
      </c>
      <c r="C1848" s="1100">
        <v>1.0107856625635463</v>
      </c>
      <c r="D1848" s="1100">
        <v>0.96562834389822982</v>
      </c>
      <c r="E1848" s="1100">
        <v>1.0460714963648672</v>
      </c>
      <c r="F1848" s="1100">
        <v>1.0100779894141967</v>
      </c>
      <c r="G1848" s="1100">
        <v>1.0156184617313539</v>
      </c>
      <c r="H1848" s="1100">
        <v>1.0305481124495384</v>
      </c>
      <c r="I1848" s="1100">
        <v>0.96566775810385108</v>
      </c>
      <c r="K1848">
        <v>1.3324306733555129</v>
      </c>
      <c r="L1848">
        <v>0</v>
      </c>
      <c r="M1848">
        <v>5.6457969061966449E-4</v>
      </c>
      <c r="N1848">
        <v>5.9659752074505287E-2</v>
      </c>
      <c r="O1848">
        <v>7.7986969604837393E-3</v>
      </c>
      <c r="P1848">
        <v>1.692293481458015E-2</v>
      </c>
      <c r="Q1848">
        <v>4.7265201943197702E-4</v>
      </c>
      <c r="R1848">
        <v>5.6296309723385084E-4</v>
      </c>
      <c r="S1848">
        <v>5.9911937447327666E-2</v>
      </c>
      <c r="T1848">
        <v>1.0414297474793528</v>
      </c>
      <c r="U1848">
        <v>0</v>
      </c>
      <c r="V1848">
        <v>9.8262338862119866E-2</v>
      </c>
      <c r="W1848">
        <v>3.8152489304623109E-2</v>
      </c>
      <c r="X1848">
        <v>8.2895410165378641E-3</v>
      </c>
      <c r="Y1848">
        <v>1.5321999699354151E-3</v>
      </c>
    </row>
    <row r="1849" spans="1:25" x14ac:dyDescent="0.25">
      <c r="A1849" s="1096"/>
      <c r="B1849" s="1455">
        <v>1599</v>
      </c>
      <c r="C1849" s="1100">
        <v>0.97129476924972957</v>
      </c>
      <c r="D1849" s="1100">
        <v>0.96040779793930753</v>
      </c>
      <c r="E1849" s="1100">
        <v>0.97780974448759106</v>
      </c>
      <c r="F1849" s="1100">
        <v>1.0075747279667491</v>
      </c>
      <c r="G1849" s="1100">
        <v>1.0195816959024386</v>
      </c>
      <c r="H1849" s="1100">
        <v>1.0282351193976256</v>
      </c>
      <c r="I1849" s="1100">
        <v>0.96229680265931827</v>
      </c>
      <c r="K1849">
        <v>1.3332507181008744</v>
      </c>
      <c r="L1849">
        <v>0</v>
      </c>
      <c r="M1849">
        <v>6.7702417132900049E-4</v>
      </c>
      <c r="N1849">
        <v>5.8219678861880252E-2</v>
      </c>
      <c r="O1849">
        <v>8.1158299988579284E-3</v>
      </c>
      <c r="P1849">
        <v>1.6128888568423407E-2</v>
      </c>
      <c r="Q1849">
        <v>4.5945873838077194E-4</v>
      </c>
      <c r="R1849">
        <v>6.7508124846278226E-4</v>
      </c>
      <c r="S1849">
        <v>6.2171023407572384E-2</v>
      </c>
      <c r="T1849">
        <v>1.0408716914374583</v>
      </c>
      <c r="U1849">
        <v>0</v>
      </c>
      <c r="V1849">
        <v>9.937397135819237E-2</v>
      </c>
      <c r="W1849">
        <v>3.875864147988347E-2</v>
      </c>
      <c r="X1849">
        <v>7.3161285552497367E-3</v>
      </c>
      <c r="Y1849">
        <v>1.8373486178419466E-3</v>
      </c>
    </row>
    <row r="1850" spans="1:25" x14ac:dyDescent="0.25">
      <c r="A1850" s="1096"/>
      <c r="B1850" s="1455">
        <v>1600</v>
      </c>
      <c r="C1850" s="1100">
        <v>0.99209452941178666</v>
      </c>
      <c r="D1850" s="1100">
        <v>0.96182014969967566</v>
      </c>
      <c r="E1850" s="1100">
        <v>1.0083450750871612</v>
      </c>
      <c r="F1850" s="1100">
        <v>0.9623931327074442</v>
      </c>
      <c r="G1850" s="1100">
        <v>0.98381265765329373</v>
      </c>
      <c r="H1850" s="1100">
        <v>1.0076950550910322</v>
      </c>
      <c r="I1850" s="1100">
        <v>0.97672135917292036</v>
      </c>
      <c r="K1850">
        <v>1.2799989278575827</v>
      </c>
      <c r="L1850">
        <v>0</v>
      </c>
      <c r="M1850">
        <v>6.0940418234975272E-4</v>
      </c>
      <c r="N1850">
        <v>5.7468690787707215E-2</v>
      </c>
      <c r="O1850">
        <v>7.9486739099098817E-3</v>
      </c>
      <c r="P1850">
        <v>1.580540476194453E-2</v>
      </c>
      <c r="Q1850">
        <v>4.6407665233129326E-4</v>
      </c>
      <c r="R1850">
        <v>6.0761966768435951E-4</v>
      </c>
      <c r="S1850">
        <v>6.1134484464898844E-2</v>
      </c>
      <c r="T1850">
        <v>0.99331621179272711</v>
      </c>
      <c r="U1850">
        <v>0</v>
      </c>
      <c r="V1850">
        <v>9.7142995422857481E-2</v>
      </c>
      <c r="W1850">
        <v>3.756684933081833E-2</v>
      </c>
      <c r="X1850">
        <v>7.4995848153865171E-3</v>
      </c>
      <c r="Y1850">
        <v>1.6537404336672069E-3</v>
      </c>
    </row>
    <row r="1851" spans="1:25" x14ac:dyDescent="0.25">
      <c r="A1851" s="1096"/>
      <c r="B1851" s="1455">
        <v>1601</v>
      </c>
      <c r="C1851" s="1100">
        <v>1.0094386031063223</v>
      </c>
      <c r="D1851" s="1100">
        <v>1.0206993471744703</v>
      </c>
      <c r="E1851" s="1100">
        <v>0.9972687773454455</v>
      </c>
      <c r="F1851" s="1100">
        <v>1.003818379040561</v>
      </c>
      <c r="G1851" s="1100">
        <v>0.97175254366577746</v>
      </c>
      <c r="H1851" s="1100">
        <v>0.97713613540989519</v>
      </c>
      <c r="I1851" s="1100">
        <v>1.0133024088205278</v>
      </c>
      <c r="K1851">
        <v>1.313001616989466</v>
      </c>
      <c r="L1851">
        <v>0</v>
      </c>
      <c r="M1851">
        <v>5.8031721941813319E-4</v>
      </c>
      <c r="N1851">
        <v>5.2920172987246834E-2</v>
      </c>
      <c r="O1851">
        <v>7.6259518157995509E-3</v>
      </c>
      <c r="P1851">
        <v>1.6225080905293423E-2</v>
      </c>
      <c r="Q1851">
        <v>4.4031278795900002E-4</v>
      </c>
      <c r="R1851">
        <v>5.7856473485365454E-4</v>
      </c>
      <c r="S1851">
        <v>5.9440429324418315E-2</v>
      </c>
      <c r="T1851">
        <v>1.0364025278186593</v>
      </c>
      <c r="U1851">
        <v>0</v>
      </c>
      <c r="V1851">
        <v>9.6118032462507788E-2</v>
      </c>
      <c r="W1851">
        <v>3.482149658788071E-2</v>
      </c>
      <c r="X1851">
        <v>7.4347022998082221E-3</v>
      </c>
      <c r="Y1851">
        <v>1.5746624844580612E-3</v>
      </c>
    </row>
    <row r="1852" spans="1:25" x14ac:dyDescent="0.25">
      <c r="A1852" s="1096"/>
      <c r="B1852" s="1455">
        <v>1602</v>
      </c>
      <c r="C1852" s="1100">
        <v>0.99908525468841525</v>
      </c>
      <c r="D1852" s="1100">
        <v>1.0440492277864362</v>
      </c>
      <c r="E1852" s="1100">
        <v>1.0130103417032452</v>
      </c>
      <c r="F1852" s="1100">
        <v>1.0208067144455899</v>
      </c>
      <c r="G1852" s="1100">
        <v>1.0449664415451088</v>
      </c>
      <c r="H1852" s="1100">
        <v>0.96238401081308889</v>
      </c>
      <c r="I1852" s="1100">
        <v>0.98696758722965949</v>
      </c>
      <c r="K1852">
        <v>1.3322726772396321</v>
      </c>
      <c r="L1852">
        <v>0</v>
      </c>
      <c r="M1852">
        <v>5.5387874268537983E-4</v>
      </c>
      <c r="N1852">
        <v>5.2965978585773406E-2</v>
      </c>
      <c r="O1852">
        <v>7.639386878586567E-3</v>
      </c>
      <c r="P1852">
        <v>1.6674836988535162E-2</v>
      </c>
      <c r="Q1852">
        <v>4.4810331264910126E-4</v>
      </c>
      <c r="R1852">
        <v>5.5218045947117171E-4</v>
      </c>
      <c r="S1852">
        <v>5.736658623124137E-2</v>
      </c>
      <c r="T1852">
        <v>1.0534664675716714</v>
      </c>
      <c r="U1852">
        <v>0</v>
      </c>
      <c r="V1852">
        <v>9.993207186569121E-2</v>
      </c>
      <c r="W1852">
        <v>3.4528392874924631E-2</v>
      </c>
      <c r="X1852">
        <v>7.7496980293308764E-3</v>
      </c>
      <c r="Y1852">
        <v>1.5028531844409852E-3</v>
      </c>
    </row>
    <row r="1853" spans="1:25" x14ac:dyDescent="0.25">
      <c r="A1853" s="1096"/>
      <c r="B1853" s="1455">
        <v>1603</v>
      </c>
      <c r="C1853" s="1100">
        <v>1.0213477960439949</v>
      </c>
      <c r="D1853" s="1100">
        <v>0.99773284978288823</v>
      </c>
      <c r="E1853" s="1100">
        <v>0.98013028484874243</v>
      </c>
      <c r="F1853" s="1100">
        <v>0.98174202183909887</v>
      </c>
      <c r="G1853" s="1100">
        <v>0.98884174425697169</v>
      </c>
      <c r="H1853" s="1100">
        <v>0.9865560491945895</v>
      </c>
      <c r="I1853" s="1100">
        <v>1.0001627762518763</v>
      </c>
      <c r="K1853">
        <v>1.2894770821105743</v>
      </c>
      <c r="L1853">
        <v>0</v>
      </c>
      <c r="M1853">
        <v>6.0548570565151629E-4</v>
      </c>
      <c r="N1853">
        <v>5.2428351452865653E-2</v>
      </c>
      <c r="O1853">
        <v>7.6018392733833593E-3</v>
      </c>
      <c r="P1853">
        <v>1.5718012276240576E-2</v>
      </c>
      <c r="Q1853">
        <v>4.3137718140306611E-4</v>
      </c>
      <c r="R1853">
        <v>6.0367467438084946E-4</v>
      </c>
      <c r="S1853">
        <v>5.8965068552758744E-2</v>
      </c>
      <c r="T1853">
        <v>1.0141160591450549</v>
      </c>
      <c r="U1853">
        <v>0</v>
      </c>
      <c r="V1853">
        <v>9.6639645992292869E-2</v>
      </c>
      <c r="W1853">
        <v>3.4854263785928555E-2</v>
      </c>
      <c r="X1853">
        <v>7.0812720195534851E-3</v>
      </c>
      <c r="Y1853">
        <v>1.6430034623617458E-3</v>
      </c>
    </row>
    <row r="1854" spans="1:25" x14ac:dyDescent="0.25">
      <c r="A1854" s="1096"/>
      <c r="B1854" s="1455">
        <v>1604</v>
      </c>
      <c r="C1854" s="1100">
        <v>0.99722068220106308</v>
      </c>
      <c r="D1854" s="1100">
        <v>0.98537518592774576</v>
      </c>
      <c r="E1854" s="1100">
        <v>0.98774564382969565</v>
      </c>
      <c r="F1854" s="1100">
        <v>0.98726866063505958</v>
      </c>
      <c r="G1854" s="1100">
        <v>0.98951084283827329</v>
      </c>
      <c r="H1854" s="1100">
        <v>1.0011502174334921</v>
      </c>
      <c r="I1854" s="1100">
        <v>1.0131639704552209</v>
      </c>
      <c r="K1854">
        <v>1.3037706172943702</v>
      </c>
      <c r="L1854">
        <v>0</v>
      </c>
      <c r="M1854">
        <v>6.2256646789581743E-4</v>
      </c>
      <c r="N1854">
        <v>5.516592675215231E-2</v>
      </c>
      <c r="O1854">
        <v>7.8265524725156174E-3</v>
      </c>
      <c r="P1854">
        <v>1.5933171684094222E-2</v>
      </c>
      <c r="Q1854">
        <v>4.4757227666603392E-4</v>
      </c>
      <c r="R1854">
        <v>6.2073149227889768E-4</v>
      </c>
      <c r="S1854">
        <v>6.2050827646448606E-2</v>
      </c>
      <c r="T1854">
        <v>1.0195975520837226</v>
      </c>
      <c r="U1854">
        <v>0</v>
      </c>
      <c r="V1854">
        <v>9.7267321709780932E-2</v>
      </c>
      <c r="W1854">
        <v>3.6506468053749234E-2</v>
      </c>
      <c r="X1854">
        <v>7.2876330929551114E-3</v>
      </c>
      <c r="Y1854">
        <v>1.6894264979017235E-3</v>
      </c>
    </row>
    <row r="1855" spans="1:25" x14ac:dyDescent="0.25">
      <c r="A1855" s="1096"/>
      <c r="B1855" s="1455">
        <v>1605</v>
      </c>
      <c r="C1855" s="1100">
        <v>0.98951621595650796</v>
      </c>
      <c r="D1855" s="1100">
        <v>1.0026825234197503</v>
      </c>
      <c r="E1855" s="1100">
        <v>1.0188223879821408</v>
      </c>
      <c r="F1855" s="1100">
        <v>1.0241327959710127</v>
      </c>
      <c r="G1855" s="1100">
        <v>1.0155720591034016</v>
      </c>
      <c r="H1855" s="1100">
        <v>0.98977860975542131</v>
      </c>
      <c r="I1855" s="1100">
        <v>1.0070141444612526</v>
      </c>
      <c r="K1855">
        <v>1.3440894058699375</v>
      </c>
      <c r="L1855">
        <v>0</v>
      </c>
      <c r="M1855">
        <v>5.7750848439040877E-4</v>
      </c>
      <c r="N1855">
        <v>5.6207556340965199E-2</v>
      </c>
      <c r="O1855">
        <v>7.8404525763108111E-3</v>
      </c>
      <c r="P1855">
        <v>1.6828867781713035E-2</v>
      </c>
      <c r="Q1855">
        <v>4.6256822024183872E-4</v>
      </c>
      <c r="R1855">
        <v>5.7578675805139011E-4</v>
      </c>
      <c r="S1855">
        <v>6.1254322810414714E-2</v>
      </c>
      <c r="T1855">
        <v>1.0567246091260516</v>
      </c>
      <c r="U1855">
        <v>0</v>
      </c>
      <c r="V1855">
        <v>9.8756452023475674E-2</v>
      </c>
      <c r="W1855">
        <v>3.6516787132320441E-2</v>
      </c>
      <c r="X1855">
        <v>7.9324098374208337E-3</v>
      </c>
      <c r="Y1855">
        <v>1.5671017473621038E-3</v>
      </c>
    </row>
    <row r="1856" spans="1:25" x14ac:dyDescent="0.25">
      <c r="A1856" s="1096"/>
      <c r="B1856" s="1455">
        <v>1606</v>
      </c>
      <c r="C1856" s="1100">
        <v>0.99181053223777171</v>
      </c>
      <c r="D1856" s="1100">
        <v>0.98723754255657648</v>
      </c>
      <c r="E1856" s="1100">
        <v>1.0353425275639452</v>
      </c>
      <c r="F1856" s="1100">
        <v>1.0160430288313269</v>
      </c>
      <c r="G1856" s="1100">
        <v>1.0381913973233401</v>
      </c>
      <c r="H1856" s="1100">
        <v>0.97426741916493331</v>
      </c>
      <c r="I1856" s="1100">
        <v>0.97485222296223806</v>
      </c>
      <c r="K1856">
        <v>1.3344746361219251</v>
      </c>
      <c r="L1856">
        <v>0</v>
      </c>
      <c r="M1856">
        <v>5.5137316536183563E-4</v>
      </c>
      <c r="N1856">
        <v>5.6401971463302843E-2</v>
      </c>
      <c r="O1856">
        <v>7.8751653124851211E-3</v>
      </c>
      <c r="P1856">
        <v>1.6894996716382941E-2</v>
      </c>
      <c r="Q1856">
        <v>4.7227966048568853E-4</v>
      </c>
      <c r="R1856">
        <v>5.4970318538223606E-4</v>
      </c>
      <c r="S1856">
        <v>5.9203979871832471E-2</v>
      </c>
      <c r="T1856">
        <v>1.0478912697480076</v>
      </c>
      <c r="U1856">
        <v>0</v>
      </c>
      <c r="V1856">
        <v>9.981178321184489E-2</v>
      </c>
      <c r="W1856">
        <v>3.6292582374853777E-2</v>
      </c>
      <c r="X1856">
        <v>8.1361668817031725E-3</v>
      </c>
      <c r="Y1856">
        <v>1.4961108610040863E-3</v>
      </c>
    </row>
    <row r="1857" spans="1:25" x14ac:dyDescent="0.25">
      <c r="A1857" s="1096"/>
      <c r="B1857" s="1455">
        <v>1607</v>
      </c>
      <c r="C1857" s="1100">
        <v>1.0170124335515567</v>
      </c>
      <c r="D1857" s="1100">
        <v>0.99823718800949712</v>
      </c>
      <c r="E1857" s="1100">
        <v>0.97947251175833994</v>
      </c>
      <c r="F1857" s="1100">
        <v>0.9881082541100934</v>
      </c>
      <c r="G1857" s="1100">
        <v>1.0205239403153279</v>
      </c>
      <c r="H1857" s="1100">
        <v>0.97768056418046345</v>
      </c>
      <c r="I1857" s="1100">
        <v>0.98758409749627551</v>
      </c>
      <c r="K1857">
        <v>1.2966064544073332</v>
      </c>
      <c r="L1857">
        <v>0</v>
      </c>
      <c r="M1857">
        <v>6.0329454239956102E-4</v>
      </c>
      <c r="N1857">
        <v>5.2133337823458734E-2</v>
      </c>
      <c r="O1857">
        <v>7.632543294590087E-3</v>
      </c>
      <c r="P1857">
        <v>1.5810321016052613E-2</v>
      </c>
      <c r="Q1857">
        <v>4.3283002350623487E-4</v>
      </c>
      <c r="R1857">
        <v>6.0147368375118939E-4</v>
      </c>
      <c r="S1857">
        <v>5.8191919165193284E-2</v>
      </c>
      <c r="T1857">
        <v>1.0207119631953168</v>
      </c>
      <c r="U1857">
        <v>0</v>
      </c>
      <c r="V1857">
        <v>9.8274808584434381E-2</v>
      </c>
      <c r="W1857">
        <v>3.4671909690773751E-2</v>
      </c>
      <c r="X1857">
        <v>7.1116293812299057E-3</v>
      </c>
      <c r="Y1857">
        <v>1.6370130914241767E-3</v>
      </c>
    </row>
    <row r="1858" spans="1:25" x14ac:dyDescent="0.25">
      <c r="A1858" s="1096"/>
      <c r="B1858" s="1455">
        <v>1608</v>
      </c>
      <c r="C1858" s="1100">
        <v>0.97600594147075781</v>
      </c>
      <c r="D1858" s="1100">
        <v>0.97812372521591762</v>
      </c>
      <c r="E1858" s="1100">
        <v>1.0108494809116972</v>
      </c>
      <c r="F1858" s="1100">
        <v>1.0026439950105339</v>
      </c>
      <c r="G1858" s="1100">
        <v>1.0083758687906064</v>
      </c>
      <c r="H1858" s="1100">
        <v>0.96186116889335815</v>
      </c>
      <c r="I1858" s="1100">
        <v>1.0003950233785905</v>
      </c>
      <c r="K1858">
        <v>1.3211599820856181</v>
      </c>
      <c r="L1858">
        <v>0</v>
      </c>
      <c r="M1858">
        <v>5.8426498731806598E-4</v>
      </c>
      <c r="N1858">
        <v>5.5508393874513465E-2</v>
      </c>
      <c r="O1858">
        <v>8.0261956720902722E-3</v>
      </c>
      <c r="P1858">
        <v>1.6433787322425831E-2</v>
      </c>
      <c r="Q1858">
        <v>4.6977757405216274E-4</v>
      </c>
      <c r="R1858">
        <v>5.8247256110060684E-4</v>
      </c>
      <c r="S1858">
        <v>6.1631850562734229E-2</v>
      </c>
      <c r="T1858">
        <v>1.0347863684428773</v>
      </c>
      <c r="U1858">
        <v>0</v>
      </c>
      <c r="V1858">
        <v>9.8746024151662989E-2</v>
      </c>
      <c r="W1858">
        <v>3.6231854712453694E-2</v>
      </c>
      <c r="X1858">
        <v>7.7422238997389668E-3</v>
      </c>
      <c r="Y1858">
        <v>1.5852982992876894E-3</v>
      </c>
    </row>
    <row r="1859" spans="1:25" x14ac:dyDescent="0.25">
      <c r="A1859" s="1096"/>
      <c r="B1859" s="1455">
        <v>1609</v>
      </c>
      <c r="C1859" s="1100">
        <v>0.98721179857064678</v>
      </c>
      <c r="D1859" s="1100">
        <v>1.020618093756928</v>
      </c>
      <c r="E1859" s="1100">
        <v>0.99720688775930588</v>
      </c>
      <c r="F1859" s="1100">
        <v>1.0223486648805455</v>
      </c>
      <c r="G1859" s="1100">
        <v>1.0168935390321743</v>
      </c>
      <c r="H1859" s="1100">
        <v>0.98217429392265865</v>
      </c>
      <c r="I1859" s="1100">
        <v>0.99640962712541892</v>
      </c>
      <c r="K1859">
        <v>1.3384680707648031</v>
      </c>
      <c r="L1859">
        <v>0</v>
      </c>
      <c r="M1859">
        <v>5.9653795041450844E-4</v>
      </c>
      <c r="N1859">
        <v>5.4390042954299146E-2</v>
      </c>
      <c r="O1859">
        <v>7.7978810932425148E-3</v>
      </c>
      <c r="P1859">
        <v>1.6528568943167499E-2</v>
      </c>
      <c r="Q1859">
        <v>4.5021171496133276E-4</v>
      </c>
      <c r="R1859">
        <v>5.9474572210608634E-4</v>
      </c>
      <c r="S1859">
        <v>5.9921973489492485E-2</v>
      </c>
      <c r="T1859">
        <v>1.0555361990349326</v>
      </c>
      <c r="U1859">
        <v>0</v>
      </c>
      <c r="V1859">
        <v>9.8854442051681438E-2</v>
      </c>
      <c r="W1859">
        <v>3.5789991000071415E-2</v>
      </c>
      <c r="X1859">
        <v>7.581850913565169E-3</v>
      </c>
      <c r="Y1859">
        <v>1.6187017976981664E-3</v>
      </c>
    </row>
    <row r="1860" spans="1:25" x14ac:dyDescent="0.25">
      <c r="A1860" s="1096"/>
      <c r="B1860" s="1455">
        <v>1610</v>
      </c>
      <c r="C1860" s="1100">
        <v>0.98363266008468642</v>
      </c>
      <c r="D1860" s="1100">
        <v>0.96170222556146978</v>
      </c>
      <c r="E1860" s="1100">
        <v>0.99510486827072675</v>
      </c>
      <c r="F1860" s="1100">
        <v>0.99844784915080997</v>
      </c>
      <c r="G1860" s="1100">
        <v>0.97230984240694296</v>
      </c>
      <c r="H1860" s="1100">
        <v>1.0157259121830846</v>
      </c>
      <c r="I1860" s="1100">
        <v>0.96657621754687961</v>
      </c>
      <c r="K1860">
        <v>1.3185372849664145</v>
      </c>
      <c r="L1860">
        <v>0</v>
      </c>
      <c r="M1860">
        <v>6.3683216755981611E-4</v>
      </c>
      <c r="N1860">
        <v>5.7701979378506046E-2</v>
      </c>
      <c r="O1860">
        <v>8.0140898159467636E-3</v>
      </c>
      <c r="P1860">
        <v>1.6158119473986966E-2</v>
      </c>
      <c r="Q1860">
        <v>4.6171587757253446E-4</v>
      </c>
      <c r="R1860">
        <v>6.3498208001766597E-4</v>
      </c>
      <c r="S1860">
        <v>6.1255674118031823E-2</v>
      </c>
      <c r="T1860">
        <v>1.0309222240442792</v>
      </c>
      <c r="U1860">
        <v>0</v>
      </c>
      <c r="V1860">
        <v>9.6786666029329352E-2</v>
      </c>
      <c r="W1860">
        <v>3.8016937037300358E-2</v>
      </c>
      <c r="X1860">
        <v>7.49351737898225E-3</v>
      </c>
      <c r="Y1860">
        <v>1.7282119000216658E-3</v>
      </c>
    </row>
    <row r="1861" spans="1:25" x14ac:dyDescent="0.25">
      <c r="A1861" s="1096"/>
      <c r="B1861" s="1455">
        <v>1611</v>
      </c>
      <c r="C1861" s="1100">
        <v>0.98671911763858033</v>
      </c>
      <c r="D1861" s="1100">
        <v>0.95459394026519895</v>
      </c>
      <c r="E1861" s="1100">
        <v>1.0109071505736453</v>
      </c>
      <c r="F1861" s="1100">
        <v>0.98709101360270946</v>
      </c>
      <c r="G1861" s="1100">
        <v>1.0322826627369026</v>
      </c>
      <c r="H1861" s="1100">
        <v>0.9871022083341443</v>
      </c>
      <c r="I1861" s="1100">
        <v>1.0165254700295365</v>
      </c>
      <c r="K1861">
        <v>1.310035142322528</v>
      </c>
      <c r="L1861">
        <v>0</v>
      </c>
      <c r="M1861">
        <v>5.9882030780847339E-4</v>
      </c>
      <c r="N1861">
        <v>5.6905612249772426E-2</v>
      </c>
      <c r="O1861">
        <v>8.0167714627757437E-3</v>
      </c>
      <c r="P1861">
        <v>1.6252606079608163E-2</v>
      </c>
      <c r="Q1861">
        <v>4.6925300798174199E-4</v>
      </c>
      <c r="R1861">
        <v>5.9703020400629625E-4</v>
      </c>
      <c r="S1861">
        <v>6.3574715531725903E-2</v>
      </c>
      <c r="T1861">
        <v>1.0187331196102989</v>
      </c>
      <c r="U1861">
        <v>0</v>
      </c>
      <c r="V1861">
        <v>9.9626968859417769E-2</v>
      </c>
      <c r="W1861">
        <v>3.7142595323630401E-2</v>
      </c>
      <c r="X1861">
        <v>7.6903708967674634E-3</v>
      </c>
      <c r="Y1861">
        <v>1.6249194043512821E-3</v>
      </c>
    </row>
    <row r="1862" spans="1:25" x14ac:dyDescent="0.25">
      <c r="A1862" s="1096"/>
      <c r="B1862" s="1455">
        <v>1612</v>
      </c>
      <c r="C1862" s="1100">
        <v>1.0170678418779298</v>
      </c>
      <c r="D1862" s="1100">
        <v>1.0105200327285209</v>
      </c>
      <c r="E1862" s="1100">
        <v>0.97564263137487328</v>
      </c>
      <c r="F1862" s="1100">
        <v>1.0345670979071844</v>
      </c>
      <c r="G1862" s="1100">
        <v>1.0281003623292466</v>
      </c>
      <c r="H1862" s="1100">
        <v>1.0114389665631021</v>
      </c>
      <c r="I1862" s="1100">
        <v>1.0418325800488299</v>
      </c>
      <c r="K1862">
        <v>1.3520946727137231</v>
      </c>
      <c r="L1862">
        <v>0</v>
      </c>
      <c r="M1862">
        <v>6.259821619480887E-4</v>
      </c>
      <c r="N1862">
        <v>5.3475948928526147E-2</v>
      </c>
      <c r="O1862">
        <v>7.5939667930727817E-3</v>
      </c>
      <c r="P1862">
        <v>1.6464798781843672E-2</v>
      </c>
      <c r="Q1862">
        <v>4.2896704053797412E-4</v>
      </c>
      <c r="R1862">
        <v>6.241558872812213E-4</v>
      </c>
      <c r="S1862">
        <v>6.2030048416753622E-2</v>
      </c>
      <c r="T1862">
        <v>1.068824362707044</v>
      </c>
      <c r="U1862">
        <v>0</v>
      </c>
      <c r="V1862">
        <v>9.8635713344282297E-2</v>
      </c>
      <c r="W1862">
        <v>3.5647330720424183E-2</v>
      </c>
      <c r="X1862">
        <v>7.2966156836585293E-3</v>
      </c>
      <c r="Y1862">
        <v>1.6987465722465398E-3</v>
      </c>
    </row>
    <row r="1863" spans="1:25" x14ac:dyDescent="0.25">
      <c r="A1863" s="1096"/>
      <c r="B1863" s="1455">
        <v>1613</v>
      </c>
      <c r="C1863" s="1100">
        <v>0.98006814814730769</v>
      </c>
      <c r="D1863" s="1100">
        <v>1.0048394655450998</v>
      </c>
      <c r="E1863" s="1100">
        <v>1.0247647583102237</v>
      </c>
      <c r="F1863" s="1100">
        <v>1.0244773996660714</v>
      </c>
      <c r="G1863" s="1100">
        <v>0.98904683014338157</v>
      </c>
      <c r="H1863" s="1100">
        <v>0.99525551705777215</v>
      </c>
      <c r="I1863" s="1100">
        <v>1.0262023390111858</v>
      </c>
      <c r="K1863">
        <v>1.3471235036522229</v>
      </c>
      <c r="L1863">
        <v>0</v>
      </c>
      <c r="M1863">
        <v>5.7859829268663084E-4</v>
      </c>
      <c r="N1863">
        <v>5.7333061920769486E-2</v>
      </c>
      <c r="O1863">
        <v>7.910725395094409E-3</v>
      </c>
      <c r="P1863">
        <v>1.6916383251641121E-2</v>
      </c>
      <c r="Q1863">
        <v>4.694767240701899E-4</v>
      </c>
      <c r="R1863">
        <v>5.7688280986919072E-4</v>
      </c>
      <c r="S1863">
        <v>6.3131471270638007E-2</v>
      </c>
      <c r="T1863">
        <v>1.0569029149718681</v>
      </c>
      <c r="U1863">
        <v>0</v>
      </c>
      <c r="V1863">
        <v>9.7721315732248987E-2</v>
      </c>
      <c r="W1863">
        <v>3.7118912875249467E-2</v>
      </c>
      <c r="X1863">
        <v>8.050872154363441E-3</v>
      </c>
      <c r="Y1863">
        <v>1.5700848390967728E-3</v>
      </c>
    </row>
    <row r="1864" spans="1:25" x14ac:dyDescent="0.25">
      <c r="A1864" s="1096"/>
      <c r="B1864" s="1455">
        <v>1614</v>
      </c>
      <c r="C1864" s="1100">
        <v>0.9741246970014722</v>
      </c>
      <c r="D1864" s="1100">
        <v>1.0020424393788616</v>
      </c>
      <c r="E1864" s="1100">
        <v>1.0469597899081098</v>
      </c>
      <c r="F1864" s="1100">
        <v>1.0254410209859282</v>
      </c>
      <c r="G1864" s="1100">
        <v>0.98480627354296568</v>
      </c>
      <c r="H1864" s="1100">
        <v>0.97737706013714043</v>
      </c>
      <c r="I1864" s="1100">
        <v>1.0056258270703518</v>
      </c>
      <c r="K1864">
        <v>1.3471295175820388</v>
      </c>
      <c r="L1864">
        <v>0</v>
      </c>
      <c r="M1864">
        <v>5.464209737194313E-4</v>
      </c>
      <c r="N1864">
        <v>5.7886496104030273E-2</v>
      </c>
      <c r="O1864">
        <v>7.973488750060629E-3</v>
      </c>
      <c r="P1864">
        <v>1.7175514612299131E-2</v>
      </c>
      <c r="Q1864">
        <v>4.8366631743912647E-4</v>
      </c>
      <c r="R1864">
        <v>5.4477125828473485E-4</v>
      </c>
      <c r="S1864">
        <v>6.1795117155052752E-2</v>
      </c>
      <c r="T1864">
        <v>1.0572437718464045</v>
      </c>
      <c r="U1864">
        <v>0</v>
      </c>
      <c r="V1864">
        <v>9.7695724810784312E-2</v>
      </c>
      <c r="W1864">
        <v>3.6999651991148547E-2</v>
      </c>
      <c r="X1864">
        <v>8.3950479289983775E-3</v>
      </c>
      <c r="Y1864">
        <v>1.4826877812540184E-3</v>
      </c>
    </row>
    <row r="1865" spans="1:25" x14ac:dyDescent="0.25">
      <c r="A1865" s="1096"/>
      <c r="B1865" s="1455">
        <v>1615</v>
      </c>
      <c r="C1865" s="1100">
        <v>0.99730166401398623</v>
      </c>
      <c r="D1865" s="1100">
        <v>0.9793338121973294</v>
      </c>
      <c r="E1865" s="1100">
        <v>1.0139767995908482</v>
      </c>
      <c r="F1865" s="1100">
        <v>1.0379409665781454</v>
      </c>
      <c r="G1865" s="1100">
        <v>1.0104582262811324</v>
      </c>
      <c r="H1865" s="1100">
        <v>0.98284506087403456</v>
      </c>
      <c r="I1865" s="1100">
        <v>1.0036830720660603</v>
      </c>
      <c r="K1865">
        <v>1.3572273031949109</v>
      </c>
      <c r="L1865">
        <v>0</v>
      </c>
      <c r="M1865">
        <v>5.801910220950894E-4</v>
      </c>
      <c r="N1865">
        <v>5.5647792959731331E-2</v>
      </c>
      <c r="O1865">
        <v>7.8517036052936258E-3</v>
      </c>
      <c r="P1865">
        <v>1.695945774920541E-2</v>
      </c>
      <c r="Q1865">
        <v>4.6100147498637104E-4</v>
      </c>
      <c r="R1865">
        <v>5.7844909584819004E-4</v>
      </c>
      <c r="S1865">
        <v>6.1127143261141312E-2</v>
      </c>
      <c r="T1865">
        <v>1.0711194583976991</v>
      </c>
      <c r="U1865">
        <v>0</v>
      </c>
      <c r="V1865">
        <v>9.830798821011616E-2</v>
      </c>
      <c r="W1865">
        <v>3.6256049855288845E-2</v>
      </c>
      <c r="X1865">
        <v>7.9241018544876744E-3</v>
      </c>
      <c r="Y1865">
        <v>1.5743477532055739E-3</v>
      </c>
    </row>
    <row r="1866" spans="1:25" x14ac:dyDescent="0.25">
      <c r="A1866" s="1096"/>
      <c r="B1866" s="1455">
        <v>1616</v>
      </c>
      <c r="C1866" s="1100">
        <v>0.98849575565749881</v>
      </c>
      <c r="D1866" s="1100">
        <v>0.99407759011999652</v>
      </c>
      <c r="E1866" s="1100">
        <v>0.98233586535487671</v>
      </c>
      <c r="F1866" s="1100">
        <v>0.99593458877822727</v>
      </c>
      <c r="G1866" s="1100">
        <v>1.0191231532087404</v>
      </c>
      <c r="H1866" s="1100">
        <v>1.0180596881837465</v>
      </c>
      <c r="I1866" s="1100">
        <v>1.0117193331854279</v>
      </c>
      <c r="K1866">
        <v>1.3170723816995134</v>
      </c>
      <c r="L1866">
        <v>0</v>
      </c>
      <c r="M1866">
        <v>6.4359217062275476E-4</v>
      </c>
      <c r="N1866">
        <v>5.6106258176287019E-2</v>
      </c>
      <c r="O1866">
        <v>7.866568797745839E-3</v>
      </c>
      <c r="P1866">
        <v>1.6022198951494274E-2</v>
      </c>
      <c r="Q1866">
        <v>4.4740078481025718E-4</v>
      </c>
      <c r="R1866">
        <v>6.4172673043179742E-4</v>
      </c>
      <c r="S1866">
        <v>6.2739198385709558E-2</v>
      </c>
      <c r="T1866">
        <v>1.0287100276851904</v>
      </c>
      <c r="U1866">
        <v>0</v>
      </c>
      <c r="V1866">
        <v>9.8913011462893677E-2</v>
      </c>
      <c r="W1866">
        <v>3.7249735835030974E-2</v>
      </c>
      <c r="X1866">
        <v>7.2732784454670567E-3</v>
      </c>
      <c r="Y1866">
        <v>1.7465686150755198E-3</v>
      </c>
    </row>
    <row r="1867" spans="1:25" x14ac:dyDescent="0.25">
      <c r="A1867" s="1096"/>
      <c r="B1867" s="1455">
        <v>1617</v>
      </c>
      <c r="C1867" s="1100">
        <v>0.9865145125410929</v>
      </c>
      <c r="D1867" s="1100">
        <v>1.0221476131769016</v>
      </c>
      <c r="E1867" s="1100">
        <v>1.0315285656930611</v>
      </c>
      <c r="F1867" s="1100">
        <v>0.97942888226739788</v>
      </c>
      <c r="G1867" s="1100">
        <v>1.0341195416051292</v>
      </c>
      <c r="H1867" s="1100">
        <v>1.0187915819662874</v>
      </c>
      <c r="I1867" s="1100">
        <v>0.98741337790836736</v>
      </c>
      <c r="K1867">
        <v>1.3004509158069859</v>
      </c>
      <c r="L1867">
        <v>0</v>
      </c>
      <c r="M1867">
        <v>5.7622824694310531E-4</v>
      </c>
      <c r="N1867">
        <v>5.8278562368571311E-2</v>
      </c>
      <c r="O1867">
        <v>7.8072042757769619E-3</v>
      </c>
      <c r="P1867">
        <v>1.6340188808333395E-2</v>
      </c>
      <c r="Q1867">
        <v>4.6644509770480308E-4</v>
      </c>
      <c r="R1867">
        <v>5.7455925971109582E-4</v>
      </c>
      <c r="S1867">
        <v>6.0518038880796939E-2</v>
      </c>
      <c r="T1867">
        <v>1.0102369246362566</v>
      </c>
      <c r="U1867">
        <v>0</v>
      </c>
      <c r="V1867">
        <v>9.9744596502197927E-2</v>
      </c>
      <c r="W1867">
        <v>3.7582989219529503E-2</v>
      </c>
      <c r="X1867">
        <v>7.9138741035235643E-3</v>
      </c>
      <c r="Y1867">
        <v>1.5637609015245423E-3</v>
      </c>
    </row>
    <row r="1868" spans="1:25" x14ac:dyDescent="0.25">
      <c r="A1868" s="1096"/>
      <c r="B1868" s="1455">
        <v>1618</v>
      </c>
      <c r="C1868" s="1100">
        <v>1.0113462837936908</v>
      </c>
      <c r="D1868" s="1100">
        <v>1.0285735358449413</v>
      </c>
      <c r="E1868" s="1100">
        <v>1.0164004573464662</v>
      </c>
      <c r="F1868" s="1100">
        <v>0.99746180707238108</v>
      </c>
      <c r="G1868" s="1100">
        <v>1.0002881228916707</v>
      </c>
      <c r="H1868" s="1100">
        <v>0.9918572437278671</v>
      </c>
      <c r="I1868" s="1100">
        <v>0.99473666802281047</v>
      </c>
      <c r="K1868">
        <v>1.3086538240344818</v>
      </c>
      <c r="L1868">
        <v>0</v>
      </c>
      <c r="M1868">
        <v>5.6331519124090126E-4</v>
      </c>
      <c r="N1868">
        <v>5.4427303340725992E-2</v>
      </c>
      <c r="O1868">
        <v>7.5928018969835124E-3</v>
      </c>
      <c r="P1868">
        <v>1.6363639968230013E-2</v>
      </c>
      <c r="Q1868">
        <v>4.4687872674500098E-4</v>
      </c>
      <c r="R1868">
        <v>5.6163929891531455E-4</v>
      </c>
      <c r="S1868">
        <v>5.8456546182403715E-2</v>
      </c>
      <c r="T1868">
        <v>1.0292754892430747</v>
      </c>
      <c r="U1868">
        <v>0</v>
      </c>
      <c r="V1868">
        <v>9.7473484470600932E-2</v>
      </c>
      <c r="W1868">
        <v>3.5410430516860478E-2</v>
      </c>
      <c r="X1868">
        <v>7.6803285538791883E-3</v>
      </c>
      <c r="Y1868">
        <v>1.5285970273023575E-3</v>
      </c>
    </row>
    <row r="1869" spans="1:25" x14ac:dyDescent="0.25">
      <c r="A1869" s="1096"/>
      <c r="B1869" s="1455">
        <v>1619</v>
      </c>
      <c r="C1869" s="1100">
        <v>1.0168906585974338</v>
      </c>
      <c r="D1869" s="1100">
        <v>1.0461000025611924</v>
      </c>
      <c r="E1869" s="1100">
        <v>0.97941800219241626</v>
      </c>
      <c r="F1869" s="1100">
        <v>1.0240039558041272</v>
      </c>
      <c r="G1869" s="1100">
        <v>0.98619201136626677</v>
      </c>
      <c r="H1869" s="1100">
        <v>0.97357882139353691</v>
      </c>
      <c r="I1869" s="1100">
        <v>1.0131241834736628</v>
      </c>
      <c r="K1869">
        <v>1.3303949540946975</v>
      </c>
      <c r="L1869">
        <v>0</v>
      </c>
      <c r="M1869">
        <v>5.897510203062298E-4</v>
      </c>
      <c r="N1869">
        <v>5.095392771143574E-2</v>
      </c>
      <c r="O1869">
        <v>7.4917754370749986E-3</v>
      </c>
      <c r="P1869">
        <v>1.6284104278300317E-2</v>
      </c>
      <c r="Q1869">
        <v>4.2482374592345528E-4</v>
      </c>
      <c r="R1869">
        <v>5.8796353944150204E-4</v>
      </c>
      <c r="S1869">
        <v>5.8097904887532109E-2</v>
      </c>
      <c r="T1869">
        <v>1.057793778417266</v>
      </c>
      <c r="U1869">
        <v>0</v>
      </c>
      <c r="V1869">
        <v>9.6617017944947148E-2</v>
      </c>
      <c r="W1869">
        <v>3.3888644555173271E-2</v>
      </c>
      <c r="X1869">
        <v>7.244521665678203E-3</v>
      </c>
      <c r="Y1869">
        <v>1.6002429322310827E-3</v>
      </c>
    </row>
    <row r="1870" spans="1:25" x14ac:dyDescent="0.25">
      <c r="A1870" s="1096"/>
      <c r="B1870" s="1455">
        <v>1620</v>
      </c>
      <c r="C1870" s="1100">
        <v>0.9890626861795232</v>
      </c>
      <c r="D1870" s="1100">
        <v>1.0011853752115436</v>
      </c>
      <c r="E1870" s="1100">
        <v>1.0276542989498225</v>
      </c>
      <c r="F1870" s="1100">
        <v>1.0326304290057358</v>
      </c>
      <c r="G1870" s="1100">
        <v>0.99519973496502789</v>
      </c>
      <c r="H1870" s="1100">
        <v>1.0024944655775592</v>
      </c>
      <c r="I1870" s="1100">
        <v>0.97513288478247484</v>
      </c>
      <c r="K1870">
        <v>1.352413205957377</v>
      </c>
      <c r="L1870">
        <v>0</v>
      </c>
      <c r="M1870">
        <v>5.7487892404603622E-4</v>
      </c>
      <c r="N1870">
        <v>5.7464254189746308E-2</v>
      </c>
      <c r="O1870">
        <v>7.8509362836917899E-3</v>
      </c>
      <c r="P1870">
        <v>1.7022251516842307E-2</v>
      </c>
      <c r="Q1870">
        <v>4.6726421145200082E-4</v>
      </c>
      <c r="R1870">
        <v>5.7318677652647165E-4</v>
      </c>
      <c r="S1870">
        <v>5.9781182108201096E-2</v>
      </c>
      <c r="T1870">
        <v>1.0652275011253027</v>
      </c>
      <c r="U1870">
        <v>0</v>
      </c>
      <c r="V1870">
        <v>9.7792238480037819E-2</v>
      </c>
      <c r="W1870">
        <v>3.7141314493760867E-2</v>
      </c>
      <c r="X1870">
        <v>8.1079302411250966E-3</v>
      </c>
      <c r="Y1870">
        <v>1.5600254547349555E-3</v>
      </c>
    </row>
    <row r="1871" spans="1:25" x14ac:dyDescent="0.25">
      <c r="A1871" s="1096"/>
      <c r="B1871" s="1455">
        <v>1621</v>
      </c>
      <c r="C1871" s="1100">
        <v>1.0403845540178895</v>
      </c>
      <c r="D1871" s="1100">
        <v>0.98746333271265263</v>
      </c>
      <c r="E1871" s="1100">
        <v>0.97922200171544749</v>
      </c>
      <c r="F1871" s="1100">
        <v>0.97538924770133195</v>
      </c>
      <c r="G1871" s="1100">
        <v>1.0382913299705439</v>
      </c>
      <c r="H1871" s="1100">
        <v>0.96547736768163417</v>
      </c>
      <c r="I1871" s="1100">
        <v>0.98476878095658738</v>
      </c>
      <c r="K1871">
        <v>1.2791389529417272</v>
      </c>
      <c r="L1871">
        <v>0</v>
      </c>
      <c r="M1871">
        <v>5.8521699181311032E-4</v>
      </c>
      <c r="N1871">
        <v>5.053092532936445E-2</v>
      </c>
      <c r="O1871">
        <v>7.4934759586158589E-3</v>
      </c>
      <c r="P1871">
        <v>1.5615141718897461E-2</v>
      </c>
      <c r="Q1871">
        <v>4.2483550074171928E-4</v>
      </c>
      <c r="R1871">
        <v>5.8342836948440031E-4</v>
      </c>
      <c r="S1871">
        <v>5.6700065270455804E-2</v>
      </c>
      <c r="T1871">
        <v>1.0075807030662269</v>
      </c>
      <c r="U1871">
        <v>0</v>
      </c>
      <c r="V1871">
        <v>9.8586696719135405E-2</v>
      </c>
      <c r="W1871">
        <v>3.3611292212543012E-2</v>
      </c>
      <c r="X1871">
        <v>7.0097060934491851E-3</v>
      </c>
      <c r="Y1871">
        <v>1.5878996946262257E-3</v>
      </c>
    </row>
    <row r="1872" spans="1:25" x14ac:dyDescent="0.25">
      <c r="A1872" s="1096"/>
      <c r="B1872" s="1455">
        <v>1622</v>
      </c>
      <c r="C1872" s="1100">
        <v>1.0034036899894914</v>
      </c>
      <c r="D1872" s="1100">
        <v>0.96914433937050493</v>
      </c>
      <c r="E1872" s="1100">
        <v>0.97229333802329199</v>
      </c>
      <c r="F1872" s="1100">
        <v>0.96620933864299197</v>
      </c>
      <c r="G1872" s="1100">
        <v>1.0082743514087618</v>
      </c>
      <c r="H1872" s="1100">
        <v>1.0295735840994498</v>
      </c>
      <c r="I1872" s="1100">
        <v>1.0007891554307848</v>
      </c>
      <c r="K1872">
        <v>1.2844211879582452</v>
      </c>
      <c r="L1872">
        <v>0</v>
      </c>
      <c r="M1872">
        <v>6.6133473314695544E-4</v>
      </c>
      <c r="N1872">
        <v>5.5929023816960147E-2</v>
      </c>
      <c r="O1872">
        <v>7.8263571520983278E-3</v>
      </c>
      <c r="P1872">
        <v>1.5476275749376985E-2</v>
      </c>
      <c r="Q1872">
        <v>4.4058680584993699E-4</v>
      </c>
      <c r="R1872">
        <v>6.5943930310657234E-4</v>
      </c>
      <c r="S1872">
        <v>6.2321824778935796E-2</v>
      </c>
      <c r="T1872">
        <v>0.99830193937143108</v>
      </c>
      <c r="U1872">
        <v>0</v>
      </c>
      <c r="V1872">
        <v>9.8004738896843871E-2</v>
      </c>
      <c r="W1872">
        <v>3.7358400715420473E-2</v>
      </c>
      <c r="X1872">
        <v>6.9691597024189866E-3</v>
      </c>
      <c r="Y1872">
        <v>1.7947763989482432E-3</v>
      </c>
    </row>
    <row r="1873" spans="1:25" x14ac:dyDescent="0.25">
      <c r="A1873" s="1096"/>
      <c r="B1873" s="1455">
        <v>1623</v>
      </c>
      <c r="C1873" s="1100">
        <v>1.0056826124343985</v>
      </c>
      <c r="D1873" s="1100">
        <v>1.0207390339315199</v>
      </c>
      <c r="E1873" s="1100">
        <v>1.0081122586368003</v>
      </c>
      <c r="F1873" s="1100">
        <v>1.0213215561620725</v>
      </c>
      <c r="G1873" s="1100">
        <v>0.99824908570883908</v>
      </c>
      <c r="H1873" s="1100">
        <v>1.0353088044402812</v>
      </c>
      <c r="I1873" s="1100">
        <v>1.0255182044325371</v>
      </c>
      <c r="K1873">
        <v>1.3420122657584395</v>
      </c>
      <c r="L1873">
        <v>0</v>
      </c>
      <c r="M1873">
        <v>6.0342039448151486E-4</v>
      </c>
      <c r="N1873">
        <v>5.6868867841009856E-2</v>
      </c>
      <c r="O1873">
        <v>7.6569401476771605E-3</v>
      </c>
      <c r="P1873">
        <v>1.6656748691545799E-2</v>
      </c>
      <c r="Q1873">
        <v>4.4693989029711596E-4</v>
      </c>
      <c r="R1873">
        <v>6.0170053131530072E-4</v>
      </c>
      <c r="S1873">
        <v>6.21877550189062E-2</v>
      </c>
      <c r="T1873">
        <v>1.0541451097909018</v>
      </c>
      <c r="U1873">
        <v>0</v>
      </c>
      <c r="V1873">
        <v>9.7503600575012506E-2</v>
      </c>
      <c r="W1873">
        <v>3.7179860662749524E-2</v>
      </c>
      <c r="X1873">
        <v>7.7305325077906811E-3</v>
      </c>
      <c r="Y1873">
        <v>1.6376304957134082E-3</v>
      </c>
    </row>
    <row r="1874" spans="1:25" x14ac:dyDescent="0.25">
      <c r="A1874" s="1096"/>
      <c r="B1874" s="1455">
        <v>1624</v>
      </c>
      <c r="C1874" s="1100">
        <v>0.97897566509281797</v>
      </c>
      <c r="D1874" s="1100">
        <v>0.97953300509127106</v>
      </c>
      <c r="E1874" s="1100">
        <v>1.0107854323058019</v>
      </c>
      <c r="F1874" s="1100">
        <v>0.95217693923517244</v>
      </c>
      <c r="G1874" s="1100">
        <v>0.97340322261037748</v>
      </c>
      <c r="H1874" s="1100">
        <v>1.0106089750250833</v>
      </c>
      <c r="I1874" s="1100">
        <v>0.97462652631919944</v>
      </c>
      <c r="K1874">
        <v>1.270354096225659</v>
      </c>
      <c r="L1874">
        <v>0</v>
      </c>
      <c r="M1874">
        <v>6.1174280171936448E-4</v>
      </c>
      <c r="N1874">
        <v>5.8116326658006395E-2</v>
      </c>
      <c r="O1874">
        <v>7.9972250025032686E-3</v>
      </c>
      <c r="P1874">
        <v>1.5688180327330107E-2</v>
      </c>
      <c r="Q1874">
        <v>4.6805195040302346E-4</v>
      </c>
      <c r="R1874">
        <v>6.0995660398022742E-4</v>
      </c>
      <c r="S1874">
        <v>6.1310098325588681E-2</v>
      </c>
      <c r="T1874">
        <v>0.98270325492704502</v>
      </c>
      <c r="U1874">
        <v>0</v>
      </c>
      <c r="V1874">
        <v>9.697692230071607E-2</v>
      </c>
      <c r="W1874">
        <v>3.7935555935340065E-2</v>
      </c>
      <c r="X1874">
        <v>7.5001661925721483E-3</v>
      </c>
      <c r="Y1874">
        <v>1.6601008038937164E-3</v>
      </c>
    </row>
    <row r="1875" spans="1:25" x14ac:dyDescent="0.25">
      <c r="A1875" s="1096"/>
      <c r="B1875" s="1455">
        <v>1625</v>
      </c>
      <c r="C1875" s="1100">
        <v>0.99085444432077341</v>
      </c>
      <c r="D1875" s="1100">
        <v>1.0377139949023146</v>
      </c>
      <c r="E1875" s="1100">
        <v>1.0178178403835163</v>
      </c>
      <c r="F1875" s="1100">
        <v>0.99981719878701403</v>
      </c>
      <c r="G1875" s="1100">
        <v>0.9727343159600822</v>
      </c>
      <c r="H1875" s="1100">
        <v>1.018222867962248</v>
      </c>
      <c r="I1875" s="1100">
        <v>1.0107559628957157</v>
      </c>
      <c r="K1875">
        <v>1.3173438110227953</v>
      </c>
      <c r="L1875">
        <v>0</v>
      </c>
      <c r="M1875">
        <v>5.8643247687114848E-4</v>
      </c>
      <c r="N1875">
        <v>5.690813228989753E-2</v>
      </c>
      <c r="O1875">
        <v>7.7227978509182421E-3</v>
      </c>
      <c r="P1875">
        <v>1.6439555777912628E-2</v>
      </c>
      <c r="Q1875">
        <v>4.551716567145054E-4</v>
      </c>
      <c r="R1875">
        <v>5.8473298541515098E-4</v>
      </c>
      <c r="S1875">
        <v>6.1150340819181297E-2</v>
      </c>
      <c r="T1875">
        <v>1.0316645450935422</v>
      </c>
      <c r="U1875">
        <v>0</v>
      </c>
      <c r="V1875">
        <v>9.664887514899799E-2</v>
      </c>
      <c r="W1875">
        <v>3.6993699634056645E-2</v>
      </c>
      <c r="X1875">
        <v>7.7709418139051828E-3</v>
      </c>
      <c r="Y1875">
        <v>1.5914504291232034E-3</v>
      </c>
    </row>
    <row r="1876" spans="1:25" x14ac:dyDescent="0.25">
      <c r="A1876" s="1096"/>
      <c r="B1876" s="1455">
        <v>1626</v>
      </c>
      <c r="C1876" s="1100">
        <v>0.99711299605898962</v>
      </c>
      <c r="D1876" s="1100">
        <v>1.0033212111982119</v>
      </c>
      <c r="E1876" s="1100">
        <v>1.0049381756869815</v>
      </c>
      <c r="F1876" s="1100">
        <v>0.98598007945312749</v>
      </c>
      <c r="G1876" s="1100">
        <v>0.95863731477150294</v>
      </c>
      <c r="H1876" s="1100">
        <v>1.0118889988521296</v>
      </c>
      <c r="I1876" s="1100">
        <v>0.98169757771684429</v>
      </c>
      <c r="K1876">
        <v>1.3000180272397586</v>
      </c>
      <c r="L1876">
        <v>0</v>
      </c>
      <c r="M1876">
        <v>6.0290890032345249E-4</v>
      </c>
      <c r="N1876">
        <v>5.627491542578196E-2</v>
      </c>
      <c r="O1876">
        <v>7.7753165351765385E-3</v>
      </c>
      <c r="P1876">
        <v>1.6064635208088294E-2</v>
      </c>
      <c r="Q1876">
        <v>4.5240907533870389E-4</v>
      </c>
      <c r="R1876">
        <v>6.0115072314253864E-4</v>
      </c>
      <c r="S1876">
        <v>5.9889761374648638E-2</v>
      </c>
      <c r="T1876">
        <v>1.0177603619817877</v>
      </c>
      <c r="U1876">
        <v>0</v>
      </c>
      <c r="V1876">
        <v>9.5795510035256451E-2</v>
      </c>
      <c r="W1876">
        <v>3.6860660817072913E-2</v>
      </c>
      <c r="X1876">
        <v>7.510080864675534E-3</v>
      </c>
      <c r="Y1876">
        <v>1.6361340991113658E-3</v>
      </c>
    </row>
    <row r="1877" spans="1:25" x14ac:dyDescent="0.25">
      <c r="A1877" s="1096"/>
      <c r="B1877" s="1455">
        <v>1627</v>
      </c>
      <c r="C1877" s="1100">
        <v>1.0103476335706811</v>
      </c>
      <c r="D1877" s="1100">
        <v>0.99043854946746546</v>
      </c>
      <c r="E1877" s="1100">
        <v>1.001037608244042</v>
      </c>
      <c r="F1877" s="1100">
        <v>0.983984537621864</v>
      </c>
      <c r="G1877" s="1100">
        <v>1.0196964806781319</v>
      </c>
      <c r="H1877" s="1100">
        <v>1.0035703629439219</v>
      </c>
      <c r="I1877" s="1100">
        <v>0.95863841541804484</v>
      </c>
      <c r="K1877">
        <v>1.2966893675420303</v>
      </c>
      <c r="L1877">
        <v>0</v>
      </c>
      <c r="M1877">
        <v>5.9799929237110366E-4</v>
      </c>
      <c r="N1877">
        <v>5.5161554526985977E-2</v>
      </c>
      <c r="O1877">
        <v>7.7122840475065324E-3</v>
      </c>
      <c r="P1877">
        <v>1.5999796231403199E-2</v>
      </c>
      <c r="Q1877">
        <v>4.4698843830753593E-4</v>
      </c>
      <c r="R1877">
        <v>5.9624097745216667E-4</v>
      </c>
      <c r="S1877">
        <v>5.7872229432636112E-2</v>
      </c>
      <c r="T1877">
        <v>1.0158143992852191</v>
      </c>
      <c r="U1877">
        <v>0</v>
      </c>
      <c r="V1877">
        <v>9.8419492632258521E-2</v>
      </c>
      <c r="W1877">
        <v>3.6215060015594568E-2</v>
      </c>
      <c r="X1877">
        <v>7.4265498571976264E-3</v>
      </c>
      <c r="Y1877">
        <v>1.6227713898394047E-3</v>
      </c>
    </row>
    <row r="1878" spans="1:25" x14ac:dyDescent="0.25">
      <c r="A1878" s="1096"/>
      <c r="B1878" s="1455">
        <v>1628</v>
      </c>
      <c r="C1878" s="1100">
        <v>0.99805374450839934</v>
      </c>
      <c r="D1878" s="1100">
        <v>1.0322380067471553</v>
      </c>
      <c r="E1878" s="1100">
        <v>0.97127729801055163</v>
      </c>
      <c r="F1878" s="1100">
        <v>0.97400216220964297</v>
      </c>
      <c r="G1878" s="1100">
        <v>0.99736794408134721</v>
      </c>
      <c r="H1878" s="1100">
        <v>0.96966705155790889</v>
      </c>
      <c r="I1878" s="1100">
        <v>0.98959830837753004</v>
      </c>
      <c r="K1878">
        <v>1.2803603669726602</v>
      </c>
      <c r="L1878">
        <v>0</v>
      </c>
      <c r="M1878">
        <v>6.1187544013453863E-4</v>
      </c>
      <c r="N1878">
        <v>5.1578165282095419E-2</v>
      </c>
      <c r="O1878">
        <v>7.6720420034212308E-3</v>
      </c>
      <c r="P1878">
        <v>1.5510583801769378E-2</v>
      </c>
      <c r="Q1878">
        <v>4.3145175813839978E-4</v>
      </c>
      <c r="R1878">
        <v>6.1001342073672569E-4</v>
      </c>
      <c r="S1878">
        <v>5.8111080555742177E-2</v>
      </c>
      <c r="T1878">
        <v>1.0063838928560911</v>
      </c>
      <c r="U1878">
        <v>0</v>
      </c>
      <c r="V1878">
        <v>9.7608431816760849E-2</v>
      </c>
      <c r="W1878">
        <v>3.4473478842676764E-2</v>
      </c>
      <c r="X1878">
        <v>6.9328466349849981E-3</v>
      </c>
      <c r="Y1878">
        <v>1.6602554403752656E-3</v>
      </c>
    </row>
    <row r="1879" spans="1:25" x14ac:dyDescent="0.25">
      <c r="A1879" s="1096"/>
      <c r="B1879" s="1455">
        <v>1629</v>
      </c>
      <c r="C1879" s="1100">
        <v>0.99627843736461164</v>
      </c>
      <c r="D1879" s="1100">
        <v>0.9542034815540511</v>
      </c>
      <c r="E1879" s="1100">
        <v>1.0121234455873831</v>
      </c>
      <c r="F1879" s="1100">
        <v>1.0454533639206336</v>
      </c>
      <c r="G1879" s="1100">
        <v>1.0307396755746274</v>
      </c>
      <c r="H1879" s="1100">
        <v>1.0152851407919019</v>
      </c>
      <c r="I1879" s="1100">
        <v>1.0327888014360216</v>
      </c>
      <c r="K1879">
        <v>1.3742115915030395</v>
      </c>
      <c r="L1879">
        <v>0</v>
      </c>
      <c r="M1879">
        <v>6.0856735772104209E-4</v>
      </c>
      <c r="N1879">
        <v>5.8049425709997875E-2</v>
      </c>
      <c r="O1879">
        <v>7.9414556459384538E-3</v>
      </c>
      <c r="P1879">
        <v>1.7109509005059254E-2</v>
      </c>
      <c r="Q1879">
        <v>4.6540953301854132E-4</v>
      </c>
      <c r="R1879">
        <v>6.0679861590970396E-4</v>
      </c>
      <c r="S1879">
        <v>6.4896609963988966E-2</v>
      </c>
      <c r="T1879">
        <v>1.0789289153686197</v>
      </c>
      <c r="U1879">
        <v>0</v>
      </c>
      <c r="V1879">
        <v>9.9312660414830084E-2</v>
      </c>
      <c r="W1879">
        <v>3.7862035707508498E-2</v>
      </c>
      <c r="X1879">
        <v>7.9958330944915647E-3</v>
      </c>
      <c r="Y1879">
        <v>1.651505801396239E-3</v>
      </c>
    </row>
    <row r="1880" spans="1:25" x14ac:dyDescent="0.25">
      <c r="A1880" s="1096"/>
      <c r="B1880" s="1455">
        <v>1630</v>
      </c>
      <c r="C1880" s="1100">
        <v>0.9995391671987609</v>
      </c>
      <c r="D1880" s="1100">
        <v>1.0021422327044689</v>
      </c>
      <c r="E1880" s="1100">
        <v>0.99741900884012968</v>
      </c>
      <c r="F1880" s="1100">
        <v>0.98597967651482676</v>
      </c>
      <c r="G1880" s="1100">
        <v>0.97151648217706177</v>
      </c>
      <c r="H1880" s="1100">
        <v>0.97496769087531732</v>
      </c>
      <c r="I1880" s="1100">
        <v>1.0359545360442637</v>
      </c>
      <c r="K1880">
        <v>1.2985242260829917</v>
      </c>
      <c r="L1880">
        <v>0</v>
      </c>
      <c r="M1880">
        <v>5.8888813846464663E-4</v>
      </c>
      <c r="N1880">
        <v>5.3725793133942427E-2</v>
      </c>
      <c r="O1880">
        <v>7.7582469763545466E-3</v>
      </c>
      <c r="P1880">
        <v>1.6012939001418557E-2</v>
      </c>
      <c r="Q1880">
        <v>4.4801909239174093E-4</v>
      </c>
      <c r="R1880">
        <v>5.8710581550731856E-4</v>
      </c>
      <c r="S1880">
        <v>6.1911004670953347E-2</v>
      </c>
      <c r="T1880">
        <v>1.0179803566922236</v>
      </c>
      <c r="U1880">
        <v>0</v>
      </c>
      <c r="V1880">
        <v>9.6349922882696226E-2</v>
      </c>
      <c r="W1880">
        <v>3.5348431982891247E-2</v>
      </c>
      <c r="X1880">
        <v>7.3933854826461164E-3</v>
      </c>
      <c r="Y1880">
        <v>1.5979084904308542E-3</v>
      </c>
    </row>
    <row r="1881" spans="1:25" x14ac:dyDescent="0.25">
      <c r="A1881" s="1096"/>
      <c r="B1881" s="1455">
        <v>1631</v>
      </c>
      <c r="C1881" s="1100">
        <v>1.0157540644870824</v>
      </c>
      <c r="D1881" s="1100">
        <v>0.98425793032405251</v>
      </c>
      <c r="E1881" s="1100">
        <v>1.0119535308519512</v>
      </c>
      <c r="F1881" s="1100">
        <v>0.99923442183386835</v>
      </c>
      <c r="G1881" s="1100">
        <v>0.99312085413898232</v>
      </c>
      <c r="H1881" s="1100">
        <v>1.0009115229537358</v>
      </c>
      <c r="I1881" s="1100">
        <v>1.0137169320347144</v>
      </c>
      <c r="K1881">
        <v>1.3145888019996723</v>
      </c>
      <c r="L1881">
        <v>0</v>
      </c>
      <c r="M1881">
        <v>5.813995052595006E-4</v>
      </c>
      <c r="N1881">
        <v>5.5427208189162191E-2</v>
      </c>
      <c r="O1881">
        <v>7.6931246492010635E-3</v>
      </c>
      <c r="P1881">
        <v>1.6365873417509613E-2</v>
      </c>
      <c r="Q1881">
        <v>4.5077959170215803E-4</v>
      </c>
      <c r="R1881">
        <v>5.7968545801940802E-4</v>
      </c>
      <c r="S1881">
        <v>6.1005514840974849E-2</v>
      </c>
      <c r="T1881">
        <v>1.0312350296602413</v>
      </c>
      <c r="U1881">
        <v>0</v>
      </c>
      <c r="V1881">
        <v>9.7015398678837086E-2</v>
      </c>
      <c r="W1881">
        <v>3.6155342629003731E-2</v>
      </c>
      <c r="X1881">
        <v>7.6645316668118536E-3</v>
      </c>
      <c r="Y1881">
        <v>1.5777127234689497E-3</v>
      </c>
    </row>
    <row r="1882" spans="1:25" x14ac:dyDescent="0.25">
      <c r="A1882" s="1096"/>
      <c r="B1882" s="1455">
        <v>1632</v>
      </c>
      <c r="C1882" s="1100">
        <v>1.0215897521779767</v>
      </c>
      <c r="D1882" s="1100">
        <v>0.99728609911887345</v>
      </c>
      <c r="E1882" s="1100">
        <v>0.99876284702600115</v>
      </c>
      <c r="F1882" s="1100">
        <v>1.0245736604341402</v>
      </c>
      <c r="G1882" s="1100">
        <v>0.99320767653449493</v>
      </c>
      <c r="H1882" s="1100">
        <v>1.0114099051668919</v>
      </c>
      <c r="I1882" s="1100">
        <v>0.98942674578845247</v>
      </c>
      <c r="K1882">
        <v>1.3381899490705926</v>
      </c>
      <c r="L1882">
        <v>0</v>
      </c>
      <c r="M1882">
        <v>5.9720943899218713E-4</v>
      </c>
      <c r="N1882">
        <v>5.4712642047276529E-2</v>
      </c>
      <c r="O1882">
        <v>7.6058749772032041E-3</v>
      </c>
      <c r="P1882">
        <v>1.6539938986501957E-2</v>
      </c>
      <c r="Q1882">
        <v>4.3981432248479767E-4</v>
      </c>
      <c r="R1882">
        <v>5.9546705738082093E-4</v>
      </c>
      <c r="S1882">
        <v>5.9085653302036183E-2</v>
      </c>
      <c r="T1882">
        <v>1.0577858753977001</v>
      </c>
      <c r="U1882">
        <v>0</v>
      </c>
      <c r="V1882">
        <v>9.6865588656563223E-2</v>
      </c>
      <c r="W1882">
        <v>3.5968937513416538E-2</v>
      </c>
      <c r="X1882">
        <v>7.5667012144939082E-3</v>
      </c>
      <c r="Y1882">
        <v>1.6206650345278852E-3</v>
      </c>
    </row>
    <row r="1883" spans="1:25" x14ac:dyDescent="0.25">
      <c r="A1883" s="1096"/>
      <c r="B1883" s="1455">
        <v>1633</v>
      </c>
      <c r="C1883" s="1100">
        <v>1.0103992089936993</v>
      </c>
      <c r="D1883" s="1100">
        <v>1.0007697485585261</v>
      </c>
      <c r="E1883" s="1100">
        <v>1.0294409958035531</v>
      </c>
      <c r="F1883" s="1100">
        <v>1.0445621170895234</v>
      </c>
      <c r="G1883" s="1100">
        <v>1.0117365778638332</v>
      </c>
      <c r="H1883" s="1100">
        <v>1.0132280461716683</v>
      </c>
      <c r="I1883" s="1100">
        <v>1.0262569235991161</v>
      </c>
      <c r="K1883">
        <v>1.366315442302604</v>
      </c>
      <c r="L1883">
        <v>0</v>
      </c>
      <c r="M1883">
        <v>5.6674538482225599E-4</v>
      </c>
      <c r="N1883">
        <v>5.695900263609862E-2</v>
      </c>
      <c r="O1883">
        <v>7.6868609950629194E-3</v>
      </c>
      <c r="P1883">
        <v>1.7249031112437165E-2</v>
      </c>
      <c r="Q1883">
        <v>4.5830847249457265E-4</v>
      </c>
      <c r="R1883">
        <v>5.6509485031660286E-4</v>
      </c>
      <c r="S1883">
        <v>6.1935241921016231E-2</v>
      </c>
      <c r="T1883">
        <v>1.0774818666592234</v>
      </c>
      <c r="U1883">
        <v>0</v>
      </c>
      <c r="V1883">
        <v>9.8065041480975751E-2</v>
      </c>
      <c r="W1883">
        <v>3.6776545821139497E-2</v>
      </c>
      <c r="X1883">
        <v>8.1671918395659713E-3</v>
      </c>
      <c r="Y1883">
        <v>1.538001899094451E-3</v>
      </c>
    </row>
    <row r="1884" spans="1:25" x14ac:dyDescent="0.25">
      <c r="A1884" s="1096"/>
      <c r="B1884" s="1455">
        <v>1634</v>
      </c>
      <c r="C1884" s="1100">
        <v>1.0125332980359705</v>
      </c>
      <c r="D1884" s="1100">
        <v>0.95311189821203712</v>
      </c>
      <c r="E1884" s="1100">
        <v>0.97204387131750591</v>
      </c>
      <c r="F1884" s="1100">
        <v>1.0008821399110299</v>
      </c>
      <c r="G1884" s="1100">
        <v>0.97979384578629392</v>
      </c>
      <c r="H1884" s="1100">
        <v>1.0187211616223533</v>
      </c>
      <c r="I1884" s="1100">
        <v>0.96576208696073629</v>
      </c>
      <c r="K1884">
        <v>1.3154358643672222</v>
      </c>
      <c r="L1884">
        <v>0</v>
      </c>
      <c r="M1884">
        <v>6.5314141643687716E-4</v>
      </c>
      <c r="N1884">
        <v>5.5192725066126803E-2</v>
      </c>
      <c r="O1884">
        <v>7.8076521717153798E-3</v>
      </c>
      <c r="P1884">
        <v>1.5896880573158138E-2</v>
      </c>
      <c r="Q1884">
        <v>4.3942188410733883E-4</v>
      </c>
      <c r="R1884">
        <v>6.5124952716565944E-4</v>
      </c>
      <c r="S1884">
        <v>5.981078677556969E-2</v>
      </c>
      <c r="T1884">
        <v>1.0341340360461622</v>
      </c>
      <c r="U1884">
        <v>0</v>
      </c>
      <c r="V1884">
        <v>9.6404317594921587E-2</v>
      </c>
      <c r="W1884">
        <v>3.6872170327902368E-2</v>
      </c>
      <c r="X1884">
        <v>7.1072792882325838E-3</v>
      </c>
      <c r="Y1884">
        <v>1.7724865285959927E-3</v>
      </c>
    </row>
    <row r="1885" spans="1:25" x14ac:dyDescent="0.25">
      <c r="A1885" s="1096"/>
      <c r="B1885" s="1455">
        <v>1635</v>
      </c>
      <c r="C1885" s="1100">
        <v>0.99632862150834367</v>
      </c>
      <c r="D1885" s="1100">
        <v>1.011519284861667</v>
      </c>
      <c r="E1885" s="1100">
        <v>0.99515697581892015</v>
      </c>
      <c r="F1885" s="1100">
        <v>1.0078361042552468</v>
      </c>
      <c r="G1885" s="1100">
        <v>0.99520744325101707</v>
      </c>
      <c r="H1885" s="1100">
        <v>0.98017219240256293</v>
      </c>
      <c r="I1885" s="1100">
        <v>0.99899727600509602</v>
      </c>
      <c r="K1885">
        <v>1.3208569942150929</v>
      </c>
      <c r="L1885">
        <v>0</v>
      </c>
      <c r="M1885">
        <v>5.9451230416861993E-4</v>
      </c>
      <c r="N1885">
        <v>5.3870258558547039E-2</v>
      </c>
      <c r="O1885">
        <v>7.7537507496625354E-3</v>
      </c>
      <c r="P1885">
        <v>1.6280709062819341E-2</v>
      </c>
      <c r="Q1885">
        <v>4.4674042069619012E-4</v>
      </c>
      <c r="R1885">
        <v>5.9272251329883633E-4</v>
      </c>
      <c r="S1885">
        <v>5.9751872913436213E-2</v>
      </c>
      <c r="T1885">
        <v>1.0406142600520141</v>
      </c>
      <c r="U1885">
        <v>0</v>
      </c>
      <c r="V1885">
        <v>9.7573371033737949E-2</v>
      </c>
      <c r="W1885">
        <v>3.5491305163175953E-2</v>
      </c>
      <c r="X1885">
        <v>7.4633207615961983E-3</v>
      </c>
      <c r="Y1885">
        <v>1.6131952902754358E-3</v>
      </c>
    </row>
    <row r="1886" spans="1:25" x14ac:dyDescent="0.25">
      <c r="A1886" s="1096"/>
      <c r="B1886" s="1455">
        <v>1636</v>
      </c>
      <c r="C1886" s="1100">
        <v>0.98840432404672496</v>
      </c>
      <c r="D1886" s="1100">
        <v>1.0392309446036121</v>
      </c>
      <c r="E1886" s="1100">
        <v>0.9863490366807427</v>
      </c>
      <c r="F1886" s="1100">
        <v>0.96988922139534117</v>
      </c>
      <c r="G1886" s="1100">
        <v>1.0247064975429059</v>
      </c>
      <c r="H1886" s="1100">
        <v>1.0339768609173809</v>
      </c>
      <c r="I1886" s="1100">
        <v>0.99381770925799029</v>
      </c>
      <c r="K1886">
        <v>1.2877312701405705</v>
      </c>
      <c r="L1886">
        <v>0</v>
      </c>
      <c r="M1886">
        <v>6.3689136025465282E-4</v>
      </c>
      <c r="N1886">
        <v>5.620268690800246E-2</v>
      </c>
      <c r="O1886">
        <v>7.7297208828933173E-3</v>
      </c>
      <c r="P1886">
        <v>1.5681992858070457E-2</v>
      </c>
      <c r="Q1886">
        <v>4.4141025053850275E-4</v>
      </c>
      <c r="R1886">
        <v>6.3507376007921809E-4</v>
      </c>
      <c r="S1886">
        <v>6.0673256687465871E-2</v>
      </c>
      <c r="T1886">
        <v>1.0016898516090036</v>
      </c>
      <c r="U1886">
        <v>0</v>
      </c>
      <c r="V1886">
        <v>9.9189903077559358E-2</v>
      </c>
      <c r="W1886">
        <v>3.7223755024843402E-2</v>
      </c>
      <c r="X1886">
        <v>7.1720490194414231E-3</v>
      </c>
      <c r="Y1886">
        <v>1.7284614229268862E-3</v>
      </c>
    </row>
    <row r="1887" spans="1:25" x14ac:dyDescent="0.25">
      <c r="A1887" s="1096"/>
      <c r="B1887" s="1455">
        <v>1637</v>
      </c>
      <c r="C1887" s="1100">
        <v>1.0102947124789847</v>
      </c>
      <c r="D1887" s="1100">
        <v>1.0068981596845494</v>
      </c>
      <c r="E1887" s="1100">
        <v>1.0204389485011702</v>
      </c>
      <c r="F1887" s="1100">
        <v>1.0177597733906172</v>
      </c>
      <c r="G1887" s="1100">
        <v>0.98189133706852028</v>
      </c>
      <c r="H1887" s="1100">
        <v>0.982873250355077</v>
      </c>
      <c r="I1887" s="1100">
        <v>1.0003516427082069</v>
      </c>
      <c r="K1887">
        <v>1.3302930844208356</v>
      </c>
      <c r="L1887">
        <v>0</v>
      </c>
      <c r="M1887">
        <v>5.5886014595422809E-4</v>
      </c>
      <c r="N1887">
        <v>5.4657326142547154E-2</v>
      </c>
      <c r="O1887">
        <v>7.6667161271842463E-3</v>
      </c>
      <c r="P1887">
        <v>1.6699743225545627E-2</v>
      </c>
      <c r="Q1887">
        <v>4.530458295622157E-4</v>
      </c>
      <c r="R1887">
        <v>5.571823102086573E-4</v>
      </c>
      <c r="S1887">
        <v>5.9256767909376354E-2</v>
      </c>
      <c r="T1887">
        <v>1.0501007605549419</v>
      </c>
      <c r="U1887">
        <v>0</v>
      </c>
      <c r="V1887">
        <v>9.6613420120506138E-2</v>
      </c>
      <c r="W1887">
        <v>3.5476059432677294E-2</v>
      </c>
      <c r="X1887">
        <v>7.8544563409512266E-3</v>
      </c>
      <c r="Y1887">
        <v>1.5164665732887688E-3</v>
      </c>
    </row>
    <row r="1888" spans="1:25" x14ac:dyDescent="0.25">
      <c r="A1888" s="1096"/>
      <c r="B1888" s="1455">
        <v>1638</v>
      </c>
      <c r="C1888" s="1100">
        <v>0.98421143192825689</v>
      </c>
      <c r="D1888" s="1100">
        <v>1.0139927458039515</v>
      </c>
      <c r="E1888" s="1100">
        <v>0.99591229491639144</v>
      </c>
      <c r="F1888" s="1100">
        <v>0.9957346769294888</v>
      </c>
      <c r="G1888" s="1100">
        <v>0.99661205365595429</v>
      </c>
      <c r="H1888" s="1100">
        <v>0.98872334132008621</v>
      </c>
      <c r="I1888" s="1100">
        <v>1.0079424314313998</v>
      </c>
      <c r="K1888">
        <v>1.3120019119649398</v>
      </c>
      <c r="L1888">
        <v>0</v>
      </c>
      <c r="M1888">
        <v>6.0554053750242333E-4</v>
      </c>
      <c r="N1888">
        <v>5.4996386275695773E-2</v>
      </c>
      <c r="O1888">
        <v>7.8417344853876671E-3</v>
      </c>
      <c r="P1888">
        <v>1.6144737388741545E-2</v>
      </c>
      <c r="Q1888">
        <v>4.5215370339620864E-4</v>
      </c>
      <c r="R1888">
        <v>6.0373331238694939E-4</v>
      </c>
      <c r="S1888">
        <v>6.1215734485428594E-2</v>
      </c>
      <c r="T1888">
        <v>1.0280967679912434</v>
      </c>
      <c r="U1888">
        <v>0</v>
      </c>
      <c r="V1888">
        <v>9.7948381628429643E-2</v>
      </c>
      <c r="W1888">
        <v>3.6216911480885211E-2</v>
      </c>
      <c r="X1888">
        <v>7.4477486951609476E-3</v>
      </c>
      <c r="Y1888">
        <v>1.6431630556843358E-3</v>
      </c>
    </row>
    <row r="1889" spans="1:25" x14ac:dyDescent="0.25">
      <c r="A1889" s="1096"/>
      <c r="B1889" s="1455">
        <v>1639</v>
      </c>
      <c r="C1889" s="1100">
        <v>1.0222796091768607</v>
      </c>
      <c r="D1889" s="1100">
        <v>0.98669411581213085</v>
      </c>
      <c r="E1889" s="1100">
        <v>0.99557414503610875</v>
      </c>
      <c r="F1889" s="1100">
        <v>0.97697611294491626</v>
      </c>
      <c r="G1889" s="1100">
        <v>0.98542882881374805</v>
      </c>
      <c r="H1889" s="1100">
        <v>1.0090545405365785</v>
      </c>
      <c r="I1889" s="1100">
        <v>0.98048245673157763</v>
      </c>
      <c r="K1889">
        <v>1.2873917083323234</v>
      </c>
      <c r="L1889">
        <v>0</v>
      </c>
      <c r="M1889">
        <v>6.0193158254111907E-4</v>
      </c>
      <c r="N1889">
        <v>5.4616068083018735E-2</v>
      </c>
      <c r="O1889">
        <v>7.6325054359313053E-3</v>
      </c>
      <c r="P1889">
        <v>1.5824184890771521E-2</v>
      </c>
      <c r="Q1889">
        <v>4.3993966077880573E-4</v>
      </c>
      <c r="R1889">
        <v>6.0017132461661477E-4</v>
      </c>
      <c r="S1889">
        <v>5.8775351108442848E-2</v>
      </c>
      <c r="T1889">
        <v>1.0087384124803198</v>
      </c>
      <c r="U1889">
        <v>0</v>
      </c>
      <c r="V1889">
        <v>9.6469393582953616E-2</v>
      </c>
      <c r="W1889">
        <v>3.5973713098747279E-2</v>
      </c>
      <c r="X1889">
        <v>7.2904317501021046E-3</v>
      </c>
      <c r="Y1889">
        <v>1.6334684991824377E-3</v>
      </c>
    </row>
    <row r="1890" spans="1:25" x14ac:dyDescent="0.25">
      <c r="A1890" s="1096"/>
      <c r="B1890" s="1455">
        <v>1640</v>
      </c>
      <c r="C1890" s="1100">
        <v>0.98949399446150177</v>
      </c>
      <c r="D1890" s="1100">
        <v>0.97595958936341931</v>
      </c>
      <c r="E1890" s="1100">
        <v>0.98461267532400742</v>
      </c>
      <c r="F1890" s="1100">
        <v>0.9977930909210051</v>
      </c>
      <c r="G1890" s="1100">
        <v>0.97729916087683277</v>
      </c>
      <c r="H1890" s="1100">
        <v>0.99197186000650228</v>
      </c>
      <c r="I1890" s="1100">
        <v>1.0036908511315925</v>
      </c>
      <c r="K1890">
        <v>1.3145104681145388</v>
      </c>
      <c r="L1890">
        <v>0</v>
      </c>
      <c r="M1890">
        <v>6.2812794950189001E-4</v>
      </c>
      <c r="N1890">
        <v>5.5132348917362843E-2</v>
      </c>
      <c r="O1890">
        <v>7.917235723362278E-3</v>
      </c>
      <c r="P1890">
        <v>1.6036972923126128E-2</v>
      </c>
      <c r="Q1890">
        <v>4.5132360899537567E-4</v>
      </c>
      <c r="R1890">
        <v>6.2625945172961291E-4</v>
      </c>
      <c r="S1890">
        <v>6.1980659350960289E-2</v>
      </c>
      <c r="T1890">
        <v>1.030560950433455</v>
      </c>
      <c r="U1890">
        <v>0</v>
      </c>
      <c r="V1890">
        <v>9.6867163048313026E-2</v>
      </c>
      <c r="W1890">
        <v>3.6552994789343422E-2</v>
      </c>
      <c r="X1890">
        <v>7.3082160361572527E-3</v>
      </c>
      <c r="Y1890">
        <v>1.7044717812352271E-3</v>
      </c>
    </row>
    <row r="1891" spans="1:25" x14ac:dyDescent="0.25">
      <c r="A1891" s="1096"/>
      <c r="B1891" s="1455">
        <v>1641</v>
      </c>
      <c r="C1891" s="1100">
        <v>0.9904938742912146</v>
      </c>
      <c r="D1891" s="1100">
        <v>1.0008539348877123</v>
      </c>
      <c r="E1891" s="1100">
        <v>1.0423175498068988</v>
      </c>
      <c r="F1891" s="1100">
        <v>0.99353235160795905</v>
      </c>
      <c r="G1891" s="1100">
        <v>1.0036857248932634</v>
      </c>
      <c r="H1891" s="1100">
        <v>1.0165056382334634</v>
      </c>
      <c r="I1891" s="1100">
        <v>1.0120715507173854</v>
      </c>
      <c r="K1891">
        <v>1.3165591820501028</v>
      </c>
      <c r="L1891">
        <v>0</v>
      </c>
      <c r="M1891">
        <v>5.6461719013283374E-4</v>
      </c>
      <c r="N1891">
        <v>5.8990687106982645E-2</v>
      </c>
      <c r="O1891">
        <v>7.8442824247841637E-3</v>
      </c>
      <c r="P1891">
        <v>1.6673093887186942E-2</v>
      </c>
      <c r="Q1891">
        <v>4.7366717788381048E-4</v>
      </c>
      <c r="R1891">
        <v>5.6297815552812868E-4</v>
      </c>
      <c r="S1891">
        <v>6.2419106556561015E-2</v>
      </c>
      <c r="T1891">
        <v>1.0244766870403141</v>
      </c>
      <c r="U1891">
        <v>0</v>
      </c>
      <c r="V1891">
        <v>9.8183281863938765E-2</v>
      </c>
      <c r="W1891">
        <v>3.7806004681157857E-2</v>
      </c>
      <c r="X1891">
        <v>8.1617693922481568E-3</v>
      </c>
      <c r="Y1891">
        <v>1.532240953648474E-3</v>
      </c>
    </row>
    <row r="1892" spans="1:25" x14ac:dyDescent="0.25">
      <c r="A1892" s="1096"/>
      <c r="B1892" s="1455">
        <v>1642</v>
      </c>
      <c r="C1892" s="1100">
        <v>1.0156507821674157</v>
      </c>
      <c r="D1892" s="1100">
        <v>0.9780555828133628</v>
      </c>
      <c r="E1892" s="1100">
        <v>0.99370780660455971</v>
      </c>
      <c r="F1892" s="1100">
        <v>0.99812035777968822</v>
      </c>
      <c r="G1892" s="1100">
        <v>1.0199145946753809</v>
      </c>
      <c r="H1892" s="1100">
        <v>1.027076307556873</v>
      </c>
      <c r="I1892" s="1100">
        <v>0.97946257864961717</v>
      </c>
      <c r="K1892">
        <v>1.3152270437834366</v>
      </c>
      <c r="L1892">
        <v>0</v>
      </c>
      <c r="M1892">
        <v>6.2125228447658626E-4</v>
      </c>
      <c r="N1892">
        <v>5.6054936777801906E-2</v>
      </c>
      <c r="O1892">
        <v>7.7089352444598917E-3</v>
      </c>
      <c r="P1892">
        <v>1.6139372924660927E-2</v>
      </c>
      <c r="Q1892">
        <v>4.4350981009706682E-4</v>
      </c>
      <c r="R1892">
        <v>6.1946740413630684E-4</v>
      </c>
      <c r="S1892">
        <v>5.9910334438939478E-2</v>
      </c>
      <c r="T1892">
        <v>1.0306258191813977</v>
      </c>
      <c r="U1892">
        <v>0</v>
      </c>
      <c r="V1892">
        <v>9.8293793451205369E-2</v>
      </c>
      <c r="W1892">
        <v>3.6962597838515937E-2</v>
      </c>
      <c r="X1892">
        <v>7.4035429300129043E-3</v>
      </c>
      <c r="Y1892">
        <v>1.6859860666841354E-3</v>
      </c>
    </row>
    <row r="1893" spans="1:25" x14ac:dyDescent="0.25">
      <c r="A1893" s="1096"/>
      <c r="B1893" s="1455">
        <v>1643</v>
      </c>
      <c r="C1893" s="1100">
        <v>0.97866873164807833</v>
      </c>
      <c r="D1893" s="1100">
        <v>1.0026292170370856</v>
      </c>
      <c r="E1893" s="1100">
        <v>0.98867983128559322</v>
      </c>
      <c r="F1893" s="1100">
        <v>1.031565748176196</v>
      </c>
      <c r="G1893" s="1100">
        <v>1.0079956244422146</v>
      </c>
      <c r="H1893" s="1100">
        <v>0.99923503953742043</v>
      </c>
      <c r="I1893" s="1100">
        <v>0.98319765150429705</v>
      </c>
      <c r="K1893">
        <v>1.351502314866039</v>
      </c>
      <c r="L1893">
        <v>0</v>
      </c>
      <c r="M1893">
        <v>6.2755845305341072E-4</v>
      </c>
      <c r="N1893">
        <v>5.5765258923686972E-2</v>
      </c>
      <c r="O1893">
        <v>7.9199672056251644E-3</v>
      </c>
      <c r="P1893">
        <v>1.6563299550257204E-2</v>
      </c>
      <c r="Q1893">
        <v>4.5334261667170244E-4</v>
      </c>
      <c r="R1893">
        <v>6.2570521867756808E-4</v>
      </c>
      <c r="S1893">
        <v>6.0730559987481378E-2</v>
      </c>
      <c r="T1893">
        <v>1.0653161597616725</v>
      </c>
      <c r="U1893">
        <v>0</v>
      </c>
      <c r="V1893">
        <v>9.863354209053031E-2</v>
      </c>
      <c r="W1893">
        <v>3.6882404946769948E-2</v>
      </c>
      <c r="X1893">
        <v>7.5366696761483866E-3</v>
      </c>
      <c r="Y1893">
        <v>1.7029633415704382E-3</v>
      </c>
    </row>
    <row r="1894" spans="1:25" x14ac:dyDescent="0.25">
      <c r="A1894" s="1096"/>
      <c r="B1894" s="1455">
        <v>1644</v>
      </c>
      <c r="C1894" s="1100">
        <v>1.0131546442266448</v>
      </c>
      <c r="D1894" s="1100">
        <v>1.0082002536813188</v>
      </c>
      <c r="E1894" s="1100">
        <v>1.0018725412593716</v>
      </c>
      <c r="F1894" s="1100">
        <v>1.0155179020706981</v>
      </c>
      <c r="G1894" s="1100">
        <v>1.0129519762278583</v>
      </c>
      <c r="H1894" s="1100">
        <v>0.99353342996853344</v>
      </c>
      <c r="I1894" s="1100">
        <v>0.99442131729245276</v>
      </c>
      <c r="K1894">
        <v>1.328695370677168</v>
      </c>
      <c r="L1894">
        <v>0</v>
      </c>
      <c r="M1894">
        <v>5.8518122302140337E-4</v>
      </c>
      <c r="N1894">
        <v>5.411387904105959E-2</v>
      </c>
      <c r="O1894">
        <v>7.6366320962878492E-3</v>
      </c>
      <c r="P1894">
        <v>1.6464049237670007E-2</v>
      </c>
      <c r="Q1894">
        <v>4.42975118879514E-4</v>
      </c>
      <c r="R1894">
        <v>5.834432152422175E-4</v>
      </c>
      <c r="S1894">
        <v>5.8999288697144853E-2</v>
      </c>
      <c r="T1894">
        <v>1.0483426020091486</v>
      </c>
      <c r="U1894">
        <v>0</v>
      </c>
      <c r="V1894">
        <v>9.8026183186947002E-2</v>
      </c>
      <c r="W1894">
        <v>3.550962720228195E-2</v>
      </c>
      <c r="X1894">
        <v>7.5739319956417469E-3</v>
      </c>
      <c r="Y1894">
        <v>1.5879400998851019E-3</v>
      </c>
    </row>
    <row r="1895" spans="1:25" x14ac:dyDescent="0.25">
      <c r="A1895" s="1096"/>
      <c r="B1895" s="1455">
        <v>1645</v>
      </c>
      <c r="C1895" s="1100">
        <v>1.0190738398644041</v>
      </c>
      <c r="D1895" s="1100">
        <v>1.0024807902256261</v>
      </c>
      <c r="E1895" s="1100">
        <v>0.96364625330178122</v>
      </c>
      <c r="F1895" s="1100">
        <v>0.99197886650276246</v>
      </c>
      <c r="G1895" s="1100">
        <v>1.0084569481419776</v>
      </c>
      <c r="H1895" s="1100">
        <v>0.99362814263996035</v>
      </c>
      <c r="I1895" s="1100">
        <v>1.0236024582354546</v>
      </c>
      <c r="K1895">
        <v>1.3025940542139318</v>
      </c>
      <c r="L1895">
        <v>0</v>
      </c>
      <c r="M1895">
        <v>6.3115076538722064E-4</v>
      </c>
      <c r="N1895">
        <v>5.1991373201949055E-2</v>
      </c>
      <c r="O1895">
        <v>7.6003991513831273E-3</v>
      </c>
      <c r="P1895">
        <v>1.570172724193623E-2</v>
      </c>
      <c r="Q1895">
        <v>4.2409737200756192E-4</v>
      </c>
      <c r="R1895">
        <v>6.2927640521280082E-4</v>
      </c>
      <c r="S1895">
        <v>6.0528150922969454E-2</v>
      </c>
      <c r="T1895">
        <v>1.0251909417294021</v>
      </c>
      <c r="U1895">
        <v>0</v>
      </c>
      <c r="V1895">
        <v>9.7624469807496561E-2</v>
      </c>
      <c r="W1895">
        <v>3.4911754067804446E-2</v>
      </c>
      <c r="X1895">
        <v>6.9103321450784353E-3</v>
      </c>
      <c r="Y1895">
        <v>1.7126829340780162E-3</v>
      </c>
    </row>
    <row r="1896" spans="1:25" x14ac:dyDescent="0.25">
      <c r="A1896" s="1096"/>
      <c r="B1896" s="1455">
        <v>1646</v>
      </c>
      <c r="C1896" s="1100">
        <v>1.0256988160989371</v>
      </c>
      <c r="D1896" s="1100">
        <v>1.0003125114771867</v>
      </c>
      <c r="E1896" s="1100">
        <v>1.0301576365713525</v>
      </c>
      <c r="F1896" s="1100">
        <v>1.0212234412918475</v>
      </c>
      <c r="G1896" s="1100">
        <v>1.0164894809222089</v>
      </c>
      <c r="H1896" s="1100">
        <v>1.0150340825904143</v>
      </c>
      <c r="I1896" s="1100">
        <v>1.0149461938756592</v>
      </c>
      <c r="K1896">
        <v>1.3387525763657206</v>
      </c>
      <c r="L1896">
        <v>0</v>
      </c>
      <c r="M1896">
        <v>5.5855433058986837E-4</v>
      </c>
      <c r="N1896">
        <v>5.6257484990263576E-2</v>
      </c>
      <c r="O1896">
        <v>7.5737582044806285E-3</v>
      </c>
      <c r="P1896">
        <v>1.6898820126705516E-2</v>
      </c>
      <c r="Q1896">
        <v>4.5188512191091107E-4</v>
      </c>
      <c r="R1896">
        <v>5.5693054524836953E-4</v>
      </c>
      <c r="S1896">
        <v>6.0409026439482878E-2</v>
      </c>
      <c r="T1896">
        <v>1.0533865273902236</v>
      </c>
      <c r="U1896">
        <v>0</v>
      </c>
      <c r="V1896">
        <v>9.7929785515019088E-2</v>
      </c>
      <c r="W1896">
        <v>3.6308489476709942E-2</v>
      </c>
      <c r="X1896">
        <v>8.0226415342030729E-3</v>
      </c>
      <c r="Y1896">
        <v>1.5157813520611618E-3</v>
      </c>
    </row>
    <row r="1897" spans="1:25" x14ac:dyDescent="0.25">
      <c r="A1897" s="1096"/>
      <c r="B1897" s="1455">
        <v>1647</v>
      </c>
      <c r="C1897" s="1100">
        <v>1.00508348274904</v>
      </c>
      <c r="D1897" s="1100">
        <v>1.009578257814431</v>
      </c>
      <c r="E1897" s="1100">
        <v>0.9896041526874142</v>
      </c>
      <c r="F1897" s="1100">
        <v>1.008034257773472</v>
      </c>
      <c r="G1897" s="1100">
        <v>0.99608344429233298</v>
      </c>
      <c r="H1897" s="1100">
        <v>0.96882566888634059</v>
      </c>
      <c r="I1897" s="1100">
        <v>1.0233510886591788</v>
      </c>
      <c r="K1897">
        <v>1.3193586605870209</v>
      </c>
      <c r="L1897">
        <v>0</v>
      </c>
      <c r="M1897">
        <v>5.8970473978275548E-4</v>
      </c>
      <c r="N1897">
        <v>5.2543324624290344E-2</v>
      </c>
      <c r="O1897">
        <v>7.6907693131423498E-3</v>
      </c>
      <c r="P1897">
        <v>1.6224058789522395E-2</v>
      </c>
      <c r="Q1897">
        <v>4.4063489900476914E-4</v>
      </c>
      <c r="R1897">
        <v>5.8790863032406925E-4</v>
      </c>
      <c r="S1897">
        <v>6.03812250980785E-2</v>
      </c>
      <c r="T1897">
        <v>1.0409867386974148</v>
      </c>
      <c r="U1897">
        <v>0</v>
      </c>
      <c r="V1897">
        <v>9.7392936930334226E-2</v>
      </c>
      <c r="W1897">
        <v>3.4732209723547181E-2</v>
      </c>
      <c r="X1897">
        <v>7.3684651334313669E-3</v>
      </c>
      <c r="Y1897">
        <v>1.6000934877142157E-3</v>
      </c>
    </row>
    <row r="1898" spans="1:25" x14ac:dyDescent="0.25">
      <c r="A1898" s="1096"/>
      <c r="B1898" s="1455">
        <v>1648</v>
      </c>
      <c r="C1898" s="1100">
        <v>1.0159303050690798</v>
      </c>
      <c r="D1898" s="1100">
        <v>0.97692835441568815</v>
      </c>
      <c r="E1898" s="1100">
        <v>0.97198834671183654</v>
      </c>
      <c r="F1898" s="1100">
        <v>1.0020605111708167</v>
      </c>
      <c r="G1898" s="1100">
        <v>0.99803435244308836</v>
      </c>
      <c r="H1898" s="1100">
        <v>0.96936921460625947</v>
      </c>
      <c r="I1898" s="1100">
        <v>0.95277510368261098</v>
      </c>
      <c r="K1898">
        <v>1.308362580744751</v>
      </c>
      <c r="L1898">
        <v>0</v>
      </c>
      <c r="M1898">
        <v>6.1340708418078903E-4</v>
      </c>
      <c r="N1898">
        <v>5.1818657940572617E-2</v>
      </c>
      <c r="O1898">
        <v>7.7050873571461688E-3</v>
      </c>
      <c r="P1898">
        <v>1.5880414812089121E-2</v>
      </c>
      <c r="Q1898">
        <v>4.3362486007240573E-4</v>
      </c>
      <c r="R1898">
        <v>6.1153983024959393E-4</v>
      </c>
      <c r="S1898">
        <v>5.6610216030535405E-2</v>
      </c>
      <c r="T1898">
        <v>1.0353532585297822</v>
      </c>
      <c r="U1898">
        <v>0</v>
      </c>
      <c r="V1898">
        <v>9.7204709494938854E-2</v>
      </c>
      <c r="W1898">
        <v>3.4619251840774572E-2</v>
      </c>
      <c r="X1898">
        <v>7.0748173088826223E-3</v>
      </c>
      <c r="Y1898">
        <v>1.6644098238885324E-3</v>
      </c>
    </row>
    <row r="1899" spans="1:25" x14ac:dyDescent="0.25">
      <c r="A1899" s="1096"/>
      <c r="B1899" s="1455">
        <v>1649</v>
      </c>
      <c r="C1899" s="1100">
        <v>0.96789220279513666</v>
      </c>
      <c r="D1899" s="1100">
        <v>1.0001339131168765</v>
      </c>
      <c r="E1899" s="1100">
        <v>0.96199832911767347</v>
      </c>
      <c r="F1899" s="1100">
        <v>1.002709026407008</v>
      </c>
      <c r="G1899" s="1100">
        <v>1.0021683044458087</v>
      </c>
      <c r="H1899" s="1100">
        <v>0.97642622280885605</v>
      </c>
      <c r="I1899" s="1100">
        <v>0.98996445781751474</v>
      </c>
      <c r="K1899">
        <v>1.3191035498024246</v>
      </c>
      <c r="L1899">
        <v>0</v>
      </c>
      <c r="M1899">
        <v>6.5585867334872123E-4</v>
      </c>
      <c r="N1899">
        <v>5.375483014229495E-2</v>
      </c>
      <c r="O1899">
        <v>8.0093948250371562E-3</v>
      </c>
      <c r="P1899">
        <v>1.585093661726833E-2</v>
      </c>
      <c r="Q1899">
        <v>4.4616393442370022E-4</v>
      </c>
      <c r="R1899">
        <v>6.5387662314648684E-4</v>
      </c>
      <c r="S1899">
        <v>6.1173637746360997E-2</v>
      </c>
      <c r="T1899">
        <v>1.0363313776643674</v>
      </c>
      <c r="U1899">
        <v>0</v>
      </c>
      <c r="V1899">
        <v>9.8603709507856852E-2</v>
      </c>
      <c r="W1899">
        <v>3.6132329039276642E-2</v>
      </c>
      <c r="X1899">
        <v>7.023515757905472E-3</v>
      </c>
      <c r="Y1899">
        <v>1.7796366178338473E-3</v>
      </c>
    </row>
    <row r="1900" spans="1:25" x14ac:dyDescent="0.25">
      <c r="A1900" s="1096"/>
      <c r="B1900" s="1455">
        <v>1650</v>
      </c>
      <c r="C1900" s="1100">
        <v>0.96005713277924054</v>
      </c>
      <c r="D1900" s="1100">
        <v>0.99892226472517254</v>
      </c>
      <c r="E1900" s="1100">
        <v>0.99866627599407087</v>
      </c>
      <c r="F1900" s="1100">
        <v>1.0287675829657195</v>
      </c>
      <c r="G1900" s="1100">
        <v>1.008715722405205</v>
      </c>
      <c r="H1900" s="1100">
        <v>0.99871924131577594</v>
      </c>
      <c r="I1900" s="1100">
        <v>1.0011791467064652</v>
      </c>
      <c r="K1900">
        <v>1.3543265507333735</v>
      </c>
      <c r="L1900">
        <v>0</v>
      </c>
      <c r="M1900">
        <v>6.2722669743779495E-4</v>
      </c>
      <c r="N1900">
        <v>5.7443737494139703E-2</v>
      </c>
      <c r="O1900">
        <v>8.0880259194161738E-3</v>
      </c>
      <c r="P1900">
        <v>1.6684740804091592E-2</v>
      </c>
      <c r="Q1900">
        <v>4.6764956262241735E-4</v>
      </c>
      <c r="R1900">
        <v>6.2537348615011239E-4</v>
      </c>
      <c r="S1900">
        <v>6.3159201113580657E-2</v>
      </c>
      <c r="T1900">
        <v>1.0621187075711371</v>
      </c>
      <c r="U1900">
        <v>0</v>
      </c>
      <c r="V1900">
        <v>9.9170505786661936E-2</v>
      </c>
      <c r="W1900">
        <v>3.7766571730700853E-2</v>
      </c>
      <c r="X1900">
        <v>7.7272034873233078E-3</v>
      </c>
      <c r="Y1900">
        <v>1.7020604749863021E-3</v>
      </c>
    </row>
    <row r="1901" spans="1:25" x14ac:dyDescent="0.25">
      <c r="A1901" s="1096"/>
      <c r="B1901" s="1455">
        <v>1651</v>
      </c>
      <c r="C1901" s="1100">
        <v>1.0120406444703804</v>
      </c>
      <c r="D1901" s="1100">
        <v>1.0120719597617138</v>
      </c>
      <c r="E1901" s="1100">
        <v>1.0135619787051535</v>
      </c>
      <c r="F1901" s="1100">
        <v>0.99272790616238837</v>
      </c>
      <c r="G1901" s="1100">
        <v>0.97217820414640921</v>
      </c>
      <c r="H1901" s="1100">
        <v>1.0334320679493891</v>
      </c>
      <c r="I1901" s="1100">
        <v>1.0055688029289327</v>
      </c>
      <c r="K1901">
        <v>1.3089790477662779</v>
      </c>
      <c r="L1901">
        <v>0</v>
      </c>
      <c r="M1901">
        <v>5.9382530065902152E-4</v>
      </c>
      <c r="N1901">
        <v>5.6892617619913786E-2</v>
      </c>
      <c r="O1901">
        <v>7.6361512465313282E-3</v>
      </c>
      <c r="P1901">
        <v>1.6276879991597864E-2</v>
      </c>
      <c r="Q1901">
        <v>4.4816013715504255E-4</v>
      </c>
      <c r="R1901">
        <v>5.9212971169261375E-4</v>
      </c>
      <c r="S1901">
        <v>6.0819891236426768E-2</v>
      </c>
      <c r="T1901">
        <v>1.0244732204092826</v>
      </c>
      <c r="U1901">
        <v>0</v>
      </c>
      <c r="V1901">
        <v>9.6093501210156404E-2</v>
      </c>
      <c r="W1901">
        <v>3.7076128164963598E-2</v>
      </c>
      <c r="X1901">
        <v>7.6526114594959076E-3</v>
      </c>
      <c r="Y1901">
        <v>1.6115818797202955E-3</v>
      </c>
    </row>
    <row r="1902" spans="1:25" x14ac:dyDescent="0.25">
      <c r="A1902" s="1096"/>
      <c r="B1902" s="1455">
        <v>1652</v>
      </c>
      <c r="C1902" s="1100">
        <v>1.0133746525828924</v>
      </c>
      <c r="D1902" s="1100">
        <v>1.008390682016773</v>
      </c>
      <c r="E1902" s="1100">
        <v>1.0185190514316658</v>
      </c>
      <c r="F1902" s="1100">
        <v>1.0242402268697792</v>
      </c>
      <c r="G1902" s="1100">
        <v>1.0295700693056049</v>
      </c>
      <c r="H1902" s="1100">
        <v>0.96147968756846103</v>
      </c>
      <c r="I1902" s="1100">
        <v>0.97982226901173353</v>
      </c>
      <c r="K1902">
        <v>1.3347838133101839</v>
      </c>
      <c r="L1902">
        <v>0</v>
      </c>
      <c r="M1902">
        <v>5.4689152327121778E-4</v>
      </c>
      <c r="N1902">
        <v>5.3174307351195049E-2</v>
      </c>
      <c r="O1902">
        <v>7.6384226255310113E-3</v>
      </c>
      <c r="P1902">
        <v>1.6771710222215543E-2</v>
      </c>
      <c r="Q1902">
        <v>4.5051295262490769E-4</v>
      </c>
      <c r="R1902">
        <v>5.4521308684345182E-4</v>
      </c>
      <c r="S1902">
        <v>5.7186752394564513E-2</v>
      </c>
      <c r="T1902">
        <v>1.0568445342268094</v>
      </c>
      <c r="U1902">
        <v>0</v>
      </c>
      <c r="V1902">
        <v>9.8843536500821047E-2</v>
      </c>
      <c r="W1902">
        <v>3.4552291173000835E-2</v>
      </c>
      <c r="X1902">
        <v>7.8395340069059554E-3</v>
      </c>
      <c r="Y1902">
        <v>1.4838902929421014E-3</v>
      </c>
    </row>
    <row r="1903" spans="1:25" x14ac:dyDescent="0.25">
      <c r="A1903" s="1096"/>
      <c r="B1903" s="1455">
        <v>1653</v>
      </c>
      <c r="C1903" s="1100">
        <v>0.99983849269793945</v>
      </c>
      <c r="D1903" s="1100">
        <v>1.0236066443041376</v>
      </c>
      <c r="E1903" s="1100">
        <v>1.0436377941935455</v>
      </c>
      <c r="F1903" s="1100">
        <v>1.0386956856269285</v>
      </c>
      <c r="G1903" s="1100">
        <v>0.9668694696178296</v>
      </c>
      <c r="H1903" s="1100">
        <v>0.9900044432732259</v>
      </c>
      <c r="I1903" s="1100">
        <v>1.0275493423806481</v>
      </c>
      <c r="K1903">
        <v>1.3562730880420837</v>
      </c>
      <c r="L1903">
        <v>0</v>
      </c>
      <c r="M1903">
        <v>5.3839542349137608E-4</v>
      </c>
      <c r="N1903">
        <v>5.6470769851396305E-2</v>
      </c>
      <c r="O1903">
        <v>7.7017324700293247E-3</v>
      </c>
      <c r="P1903">
        <v>1.7298699945568808E-2</v>
      </c>
      <c r="Q1903">
        <v>4.6566261777488722E-4</v>
      </c>
      <c r="R1903">
        <v>5.3679067109019805E-4</v>
      </c>
      <c r="S1903">
        <v>6.120791299014313E-2</v>
      </c>
      <c r="T1903">
        <v>1.0710075945835762</v>
      </c>
      <c r="U1903">
        <v>0</v>
      </c>
      <c r="V1903">
        <v>9.6169193494955979E-2</v>
      </c>
      <c r="W1903">
        <v>3.6163593156926785E-2</v>
      </c>
      <c r="X1903">
        <v>8.3285664304014028E-3</v>
      </c>
      <c r="Y1903">
        <v>1.4609672537103512E-3</v>
      </c>
    </row>
    <row r="1904" spans="1:25" x14ac:dyDescent="0.25">
      <c r="A1904" s="1096"/>
      <c r="B1904" s="1455">
        <v>1654</v>
      </c>
      <c r="C1904" s="1100">
        <v>1.009451803164469</v>
      </c>
      <c r="D1904" s="1100">
        <v>0.99738159822594985</v>
      </c>
      <c r="E1904" s="1100">
        <v>0.99767465435837699</v>
      </c>
      <c r="F1904" s="1100">
        <v>0.97352475469547883</v>
      </c>
      <c r="G1904" s="1100">
        <v>0.97151629198702694</v>
      </c>
      <c r="H1904" s="1100">
        <v>0.98232459976372288</v>
      </c>
      <c r="I1904" s="1100">
        <v>1.0020626447156833</v>
      </c>
      <c r="K1904">
        <v>1.2828019488738931</v>
      </c>
      <c r="L1904">
        <v>0</v>
      </c>
      <c r="M1904">
        <v>5.8831351287541675E-4</v>
      </c>
      <c r="N1904">
        <v>5.3716068462860839E-2</v>
      </c>
      <c r="O1904">
        <v>7.6967706399824467E-3</v>
      </c>
      <c r="P1904">
        <v>1.5807017938875977E-2</v>
      </c>
      <c r="Q1904">
        <v>4.4458337478307222E-4</v>
      </c>
      <c r="R1904">
        <v>5.86546264373708E-4</v>
      </c>
      <c r="S1904">
        <v>5.9673084245951365E-2</v>
      </c>
      <c r="T1904">
        <v>1.0051137753666726</v>
      </c>
      <c r="U1904">
        <v>0</v>
      </c>
      <c r="V1904">
        <v>9.6106729759032991E-2</v>
      </c>
      <c r="W1904">
        <v>3.5336653785870011E-2</v>
      </c>
      <c r="X1904">
        <v>7.3126469716637893E-3</v>
      </c>
      <c r="Y1904">
        <v>1.5963855767011479E-3</v>
      </c>
    </row>
    <row r="1905" spans="1:25" x14ac:dyDescent="0.25">
      <c r="A1905" s="1096"/>
      <c r="B1905" s="1455">
        <v>1655</v>
      </c>
      <c r="C1905" s="1100">
        <v>1.0017845204396236</v>
      </c>
      <c r="D1905" s="1100">
        <v>0.98210607845180298</v>
      </c>
      <c r="E1905" s="1100">
        <v>1.0067587040056218</v>
      </c>
      <c r="F1905" s="1100">
        <v>1.0355052546407337</v>
      </c>
      <c r="G1905" s="1100">
        <v>1.0246755185542173</v>
      </c>
      <c r="H1905" s="1100">
        <v>0.99597557031627082</v>
      </c>
      <c r="I1905" s="1100">
        <v>0.98659836142785384</v>
      </c>
      <c r="K1905">
        <v>1.354459443711185</v>
      </c>
      <c r="L1905">
        <v>0</v>
      </c>
      <c r="M1905">
        <v>5.9348354329105386E-4</v>
      </c>
      <c r="N1905">
        <v>5.5697951952502316E-2</v>
      </c>
      <c r="O1905">
        <v>7.8059506070248643E-3</v>
      </c>
      <c r="P1905">
        <v>1.6831724761918881E-2</v>
      </c>
      <c r="Q1905">
        <v>4.5502075107547221E-4</v>
      </c>
      <c r="R1905">
        <v>5.91725199414848E-4</v>
      </c>
      <c r="S1905">
        <v>6.0117645966900807E-2</v>
      </c>
      <c r="T1905">
        <v>1.068826057373081</v>
      </c>
      <c r="U1905">
        <v>0</v>
      </c>
      <c r="V1905">
        <v>9.8876474540040019E-2</v>
      </c>
      <c r="W1905">
        <v>3.6443471426753214E-2</v>
      </c>
      <c r="X1905">
        <v>7.7964237451170941E-3</v>
      </c>
      <c r="Y1905">
        <v>1.6104809306476534E-3</v>
      </c>
    </row>
    <row r="1906" spans="1:25" x14ac:dyDescent="0.25">
      <c r="A1906" s="1096"/>
      <c r="B1906" s="1455">
        <v>1656</v>
      </c>
      <c r="C1906" s="1100">
        <v>0.98327039538389438</v>
      </c>
      <c r="D1906" s="1100">
        <v>1.0299223343002961</v>
      </c>
      <c r="E1906" s="1100">
        <v>0.99057853854801914</v>
      </c>
      <c r="F1906" s="1100">
        <v>1.0099232983203146</v>
      </c>
      <c r="G1906" s="1100">
        <v>0.99240092062154295</v>
      </c>
      <c r="H1906" s="1100">
        <v>0.99525030461219943</v>
      </c>
      <c r="I1906" s="1100">
        <v>1.0430698464546657</v>
      </c>
      <c r="K1906">
        <v>1.328393254705599</v>
      </c>
      <c r="L1906">
        <v>0</v>
      </c>
      <c r="M1906">
        <v>6.1306744059355179E-4</v>
      </c>
      <c r="N1906">
        <v>5.4790571258884598E-2</v>
      </c>
      <c r="O1906">
        <v>7.7991366283382928E-3</v>
      </c>
      <c r="P1906">
        <v>1.6303635959617622E-2</v>
      </c>
      <c r="Q1906">
        <v>4.4728397534652938E-4</v>
      </c>
      <c r="R1906">
        <v>6.1124975087394962E-4</v>
      </c>
      <c r="S1906">
        <v>6.3085219722757158E-2</v>
      </c>
      <c r="T1906">
        <v>1.0429079502274872</v>
      </c>
      <c r="U1906">
        <v>0</v>
      </c>
      <c r="V1906">
        <v>9.7762804124424757E-2</v>
      </c>
      <c r="W1906">
        <v>3.6196552441866099E-2</v>
      </c>
      <c r="X1906">
        <v>7.4382977331441313E-3</v>
      </c>
      <c r="Y1906">
        <v>1.6636203234526691E-3</v>
      </c>
    </row>
    <row r="1907" spans="1:25" x14ac:dyDescent="0.25">
      <c r="A1907" s="1096"/>
      <c r="B1907" s="1455">
        <v>1657</v>
      </c>
      <c r="C1907" s="1100">
        <v>0.96746088562784416</v>
      </c>
      <c r="D1907" s="1100">
        <v>1.0021799875458623</v>
      </c>
      <c r="E1907" s="1100">
        <v>1.0002833664615778</v>
      </c>
      <c r="F1907" s="1100">
        <v>1.0136652127639558</v>
      </c>
      <c r="G1907" s="1100">
        <v>1.0118713882096826</v>
      </c>
      <c r="H1907" s="1100">
        <v>0.99355952224780975</v>
      </c>
      <c r="I1907" s="1100">
        <v>0.97406528499778189</v>
      </c>
      <c r="K1907">
        <v>1.3345539256170627</v>
      </c>
      <c r="L1907">
        <v>0</v>
      </c>
      <c r="M1907">
        <v>6.1633439590552479E-4</v>
      </c>
      <c r="N1907">
        <v>5.6721765065300474E-2</v>
      </c>
      <c r="O1907">
        <v>8.0160938488998638E-3</v>
      </c>
      <c r="P1907">
        <v>1.6457575276565842E-2</v>
      </c>
      <c r="Q1907">
        <v>4.6424467105600595E-4</v>
      </c>
      <c r="R1907">
        <v>6.1450391023467059E-4</v>
      </c>
      <c r="S1907">
        <v>6.0715164064734928E-2</v>
      </c>
      <c r="T1907">
        <v>1.0464779246040818</v>
      </c>
      <c r="U1907">
        <v>0</v>
      </c>
      <c r="V1907">
        <v>9.9127453563950405E-2</v>
      </c>
      <c r="W1907">
        <v>3.7256069351870875E-2</v>
      </c>
      <c r="X1907">
        <v>7.6469885837723581E-3</v>
      </c>
      <c r="Y1907">
        <v>1.6724770724992073E-3</v>
      </c>
    </row>
    <row r="1908" spans="1:25" x14ac:dyDescent="0.25">
      <c r="A1908" s="1096"/>
      <c r="B1908" s="1455">
        <v>1658</v>
      </c>
      <c r="C1908" s="1100">
        <v>0.97792328222343428</v>
      </c>
      <c r="D1908" s="1100">
        <v>0.9810048822352514</v>
      </c>
      <c r="E1908" s="1100">
        <v>0.9755294008017078</v>
      </c>
      <c r="F1908" s="1100">
        <v>0.97732006685878081</v>
      </c>
      <c r="G1908" s="1100">
        <v>0.98943389372718904</v>
      </c>
      <c r="H1908" s="1100">
        <v>0.99387949207505566</v>
      </c>
      <c r="I1908" s="1100">
        <v>1.0155433545459995</v>
      </c>
      <c r="K1908">
        <v>1.2958905363148963</v>
      </c>
      <c r="L1908">
        <v>0</v>
      </c>
      <c r="M1908">
        <v>6.4751861574129392E-4</v>
      </c>
      <c r="N1908">
        <v>5.5293936930017405E-2</v>
      </c>
      <c r="O1908">
        <v>7.9921160947920324E-3</v>
      </c>
      <c r="P1908">
        <v>1.5676969044133605E-2</v>
      </c>
      <c r="Q1908">
        <v>4.514055663008994E-4</v>
      </c>
      <c r="R1908">
        <v>6.4559613345194417E-4</v>
      </c>
      <c r="S1908">
        <v>6.3330655524137289E-2</v>
      </c>
      <c r="T1908">
        <v>1.0096851050568876</v>
      </c>
      <c r="U1908">
        <v>0</v>
      </c>
      <c r="V1908">
        <v>9.7740308565338871E-2</v>
      </c>
      <c r="W1908">
        <v>3.6861739502852472E-2</v>
      </c>
      <c r="X1908">
        <v>7.1031226581773068E-3</v>
      </c>
      <c r="Y1908">
        <v>1.7570998545479966E-3</v>
      </c>
    </row>
    <row r="1909" spans="1:25" x14ac:dyDescent="0.25">
      <c r="A1909" s="1096"/>
      <c r="B1909" s="1455">
        <v>1659</v>
      </c>
      <c r="C1909" s="1100">
        <v>1.0013071065473029</v>
      </c>
      <c r="D1909" s="1100">
        <v>1.0051291407663951</v>
      </c>
      <c r="E1909" s="1100">
        <v>1.0126382450876696</v>
      </c>
      <c r="F1909" s="1100">
        <v>1.000662899302172</v>
      </c>
      <c r="G1909" s="1100">
        <v>1.0269424707458401</v>
      </c>
      <c r="H1909" s="1100">
        <v>0.9790876566599066</v>
      </c>
      <c r="I1909" s="1100">
        <v>0.97689888418842497</v>
      </c>
      <c r="K1909">
        <v>1.3139775251650725</v>
      </c>
      <c r="L1909">
        <v>0</v>
      </c>
      <c r="M1909">
        <v>5.7129265246919384E-4</v>
      </c>
      <c r="N1909">
        <v>5.457276535102288E-2</v>
      </c>
      <c r="O1909">
        <v>7.7390612075677644E-3</v>
      </c>
      <c r="P1909">
        <v>1.6384599444279536E-2</v>
      </c>
      <c r="Q1909">
        <v>4.537813491160168E-4</v>
      </c>
      <c r="R1909">
        <v>5.6957085969288907E-4</v>
      </c>
      <c r="S1909">
        <v>5.8322193307860225E-2</v>
      </c>
      <c r="T1909">
        <v>1.0326891107818426</v>
      </c>
      <c r="U1909">
        <v>0</v>
      </c>
      <c r="V1909">
        <v>9.9004578569139121E-2</v>
      </c>
      <c r="W1909">
        <v>3.5583642702662358E-2</v>
      </c>
      <c r="X1909">
        <v>7.6793301232590807E-3</v>
      </c>
      <c r="Y1909">
        <v>1.5501841211006079E-3</v>
      </c>
    </row>
    <row r="1910" spans="1:25" x14ac:dyDescent="0.25">
      <c r="A1910" s="1096"/>
      <c r="B1910" s="1455">
        <v>1660</v>
      </c>
      <c r="C1910" s="1100">
        <v>0.97252525065321316</v>
      </c>
      <c r="D1910" s="1100">
        <v>1.0249366616957893</v>
      </c>
      <c r="E1910" s="1100">
        <v>0.97205791334987468</v>
      </c>
      <c r="F1910" s="1100">
        <v>0.97975420275914105</v>
      </c>
      <c r="G1910" s="1100">
        <v>1.0063511752497103</v>
      </c>
      <c r="H1910" s="1100">
        <v>1.0151009629749945</v>
      </c>
      <c r="I1910" s="1100">
        <v>0.99119665557664904</v>
      </c>
      <c r="K1910">
        <v>1.2979597460172938</v>
      </c>
      <c r="L1910">
        <v>0</v>
      </c>
      <c r="M1910">
        <v>6.5816641164076679E-4</v>
      </c>
      <c r="N1910">
        <v>5.5619142845722551E-2</v>
      </c>
      <c r="O1910">
        <v>7.8960124225277255E-3</v>
      </c>
      <c r="P1910">
        <v>1.5656862156152803E-2</v>
      </c>
      <c r="Q1910">
        <v>4.4440125145616251E-4</v>
      </c>
      <c r="R1910">
        <v>6.5625316793321636E-4</v>
      </c>
      <c r="S1910">
        <v>6.1361426228396854E-2</v>
      </c>
      <c r="T1910">
        <v>1.0123037531148378</v>
      </c>
      <c r="U1910">
        <v>0</v>
      </c>
      <c r="V1910">
        <v>9.8695313096498385E-2</v>
      </c>
      <c r="W1910">
        <v>3.7156726861988065E-2</v>
      </c>
      <c r="X1910">
        <v>7.0419164941037619E-3</v>
      </c>
      <c r="Y1910">
        <v>1.7861047893155473E-3</v>
      </c>
    </row>
    <row r="1911" spans="1:25" x14ac:dyDescent="0.25">
      <c r="A1911" s="1096"/>
      <c r="B1911" s="1455">
        <v>1661</v>
      </c>
      <c r="C1911" s="1100">
        <v>0.98604120618540836</v>
      </c>
      <c r="D1911" s="1100">
        <v>0.99455750755472538</v>
      </c>
      <c r="E1911" s="1100">
        <v>1.0042780215812055</v>
      </c>
      <c r="F1911" s="1100">
        <v>0.96813511701013422</v>
      </c>
      <c r="G1911" s="1100">
        <v>0.98012648792475909</v>
      </c>
      <c r="H1911" s="1100">
        <v>1.0189440104406415</v>
      </c>
      <c r="I1911" s="1100">
        <v>0.99889375585007389</v>
      </c>
      <c r="K1911">
        <v>1.2870691257021403</v>
      </c>
      <c r="L1911">
        <v>0</v>
      </c>
      <c r="M1911">
        <v>6.1693246079165304E-4</v>
      </c>
      <c r="N1911">
        <v>5.7470328412473203E-2</v>
      </c>
      <c r="O1911">
        <v>7.8900972468869644E-3</v>
      </c>
      <c r="P1911">
        <v>1.585371530021144E-2</v>
      </c>
      <c r="Q1911">
        <v>4.5878386253132847E-4</v>
      </c>
      <c r="R1911">
        <v>6.1514584520114051E-4</v>
      </c>
      <c r="S1911">
        <v>6.2131374301715253E-2</v>
      </c>
      <c r="T1911">
        <v>0.99935915330289571</v>
      </c>
      <c r="U1911">
        <v>0</v>
      </c>
      <c r="V1911">
        <v>9.7113488882693458E-2</v>
      </c>
      <c r="W1911">
        <v>3.7658387997337416E-2</v>
      </c>
      <c r="X1911">
        <v>7.4613588031216156E-3</v>
      </c>
      <c r="Y1911">
        <v>1.6742242078641328E-3</v>
      </c>
    </row>
    <row r="1912" spans="1:25" x14ac:dyDescent="0.25">
      <c r="A1912" s="1096"/>
      <c r="B1912" s="1455">
        <v>1662</v>
      </c>
      <c r="C1912" s="1100">
        <v>0.98788854998656572</v>
      </c>
      <c r="D1912" s="1100">
        <v>0.96159197302941402</v>
      </c>
      <c r="E1912" s="1100">
        <v>1.0076990091660611</v>
      </c>
      <c r="F1912" s="1100">
        <v>0.98238897747135634</v>
      </c>
      <c r="G1912" s="1100">
        <v>1.0072590578457667</v>
      </c>
      <c r="H1912" s="1100">
        <v>0.98400902226313114</v>
      </c>
      <c r="I1912" s="1100">
        <v>1.0390463841120101</v>
      </c>
      <c r="K1912">
        <v>1.3038837171623372</v>
      </c>
      <c r="L1912">
        <v>0</v>
      </c>
      <c r="M1912">
        <v>5.9847283035998863E-4</v>
      </c>
      <c r="N1912">
        <v>5.6323859547204362E-2</v>
      </c>
      <c r="O1912">
        <v>7.9831100835753097E-3</v>
      </c>
      <c r="P1912">
        <v>1.6145057707479517E-2</v>
      </c>
      <c r="Q1912">
        <v>4.6578593363781888E-4</v>
      </c>
      <c r="R1912">
        <v>5.9667814145946102E-4</v>
      </c>
      <c r="S1912">
        <v>6.4547216170908833E-2</v>
      </c>
      <c r="T1912">
        <v>1.0139732918951878</v>
      </c>
      <c r="U1912">
        <v>0</v>
      </c>
      <c r="V1912">
        <v>9.8382963320268593E-2</v>
      </c>
      <c r="W1912">
        <v>3.6832533076849291E-2</v>
      </c>
      <c r="X1912">
        <v>7.6077329099683288E-3</v>
      </c>
      <c r="Y1912">
        <v>1.6239612061561836E-3</v>
      </c>
    </row>
    <row r="1913" spans="1:25" x14ac:dyDescent="0.25">
      <c r="A1913" s="1096"/>
      <c r="B1913" s="1455">
        <v>1663</v>
      </c>
      <c r="C1913" s="1100">
        <v>1.0219078598897795</v>
      </c>
      <c r="D1913" s="1100">
        <v>0.971023812304593</v>
      </c>
      <c r="E1913" s="1100">
        <v>1.0215610208096662</v>
      </c>
      <c r="F1913" s="1100">
        <v>1.004594521136519</v>
      </c>
      <c r="G1913" s="1100">
        <v>1.0322419519876944</v>
      </c>
      <c r="H1913" s="1100">
        <v>1.007063138307529</v>
      </c>
      <c r="I1913" s="1100">
        <v>0.99541368256035234</v>
      </c>
      <c r="K1913">
        <v>1.3222530211425727</v>
      </c>
      <c r="L1913">
        <v>0</v>
      </c>
      <c r="M1913">
        <v>5.7304252403579702E-4</v>
      </c>
      <c r="N1913">
        <v>5.6238471165251325E-2</v>
      </c>
      <c r="O1913">
        <v>7.6906569725468041E-3</v>
      </c>
      <c r="P1913">
        <v>1.6567393193412196E-2</v>
      </c>
      <c r="Q1913">
        <v>4.5496751026784791E-4</v>
      </c>
      <c r="R1913">
        <v>5.7136343405684816E-4</v>
      </c>
      <c r="S1913">
        <v>6.0172173702471472E-2</v>
      </c>
      <c r="T1913">
        <v>1.0364843118739528</v>
      </c>
      <c r="U1913">
        <v>0</v>
      </c>
      <c r="V1913">
        <v>9.877196368281034E-2</v>
      </c>
      <c r="W1913">
        <v>3.6478386428262698E-2</v>
      </c>
      <c r="X1913">
        <v>7.8413127859782456E-3</v>
      </c>
      <c r="Y1913">
        <v>1.5550629175973241E-3</v>
      </c>
    </row>
    <row r="1914" spans="1:25" x14ac:dyDescent="0.25">
      <c r="A1914" s="1096"/>
      <c r="B1914" s="1455">
        <v>1664</v>
      </c>
      <c r="C1914" s="1100">
        <v>1.0343422560976316</v>
      </c>
      <c r="D1914" s="1100">
        <v>1.0060127003185462</v>
      </c>
      <c r="E1914" s="1100">
        <v>1.0441418547073358</v>
      </c>
      <c r="F1914" s="1100">
        <v>1.0013999985600981</v>
      </c>
      <c r="G1914" s="1100">
        <v>1.0406312397730284</v>
      </c>
      <c r="H1914" s="1100">
        <v>0.98929350247053194</v>
      </c>
      <c r="I1914" s="1100">
        <v>0.98607999417846481</v>
      </c>
      <c r="K1914">
        <v>1.313066743411119</v>
      </c>
      <c r="L1914">
        <v>0</v>
      </c>
      <c r="M1914">
        <v>5.2313010817166305E-4</v>
      </c>
      <c r="N1914">
        <v>5.4952870501333122E-2</v>
      </c>
      <c r="O1914">
        <v>7.4967465004166581E-3</v>
      </c>
      <c r="P1914">
        <v>1.6746456009189E-2</v>
      </c>
      <c r="Q1914">
        <v>4.5349297861328036E-4</v>
      </c>
      <c r="R1914">
        <v>5.2156973534820891E-4</v>
      </c>
      <c r="S1914">
        <v>5.7288836359079401E-2</v>
      </c>
      <c r="T1914">
        <v>1.0325373385731198</v>
      </c>
      <c r="U1914">
        <v>0</v>
      </c>
      <c r="V1914">
        <v>9.8911753779224162E-2</v>
      </c>
      <c r="W1914">
        <v>3.5181354214005624E-2</v>
      </c>
      <c r="X1914">
        <v>8.07991398475944E-3</v>
      </c>
      <c r="Y1914">
        <v>1.4195408842007761E-3</v>
      </c>
    </row>
    <row r="1915" spans="1:25" x14ac:dyDescent="0.25">
      <c r="A1915" s="1096"/>
      <c r="B1915" s="1455">
        <v>1665</v>
      </c>
      <c r="C1915" s="1100">
        <v>1.003181715633271</v>
      </c>
      <c r="D1915" s="1100">
        <v>1.0057656047739858</v>
      </c>
      <c r="E1915" s="1100">
        <v>1.0013637627967238</v>
      </c>
      <c r="F1915" s="1100">
        <v>1.0078614768349861</v>
      </c>
      <c r="G1915" s="1100">
        <v>1.0044579046149638</v>
      </c>
      <c r="H1915" s="1100">
        <v>0.99172536474403816</v>
      </c>
      <c r="I1915" s="1100">
        <v>0.9921254895427194</v>
      </c>
      <c r="K1915">
        <v>1.3218603774080531</v>
      </c>
      <c r="L1915">
        <v>0</v>
      </c>
      <c r="M1915">
        <v>5.9111763025503344E-4</v>
      </c>
      <c r="N1915">
        <v>5.4578594889569572E-2</v>
      </c>
      <c r="O1915">
        <v>7.7198883590274782E-3</v>
      </c>
      <c r="P1915">
        <v>1.635424568637342E-2</v>
      </c>
      <c r="Q1915">
        <v>4.4757578232839919E-4</v>
      </c>
      <c r="R1915">
        <v>5.8935879035263924E-4</v>
      </c>
      <c r="S1915">
        <v>5.9470460965746971E-2</v>
      </c>
      <c r="T1915">
        <v>1.0404539354455189</v>
      </c>
      <c r="U1915">
        <v>0</v>
      </c>
      <c r="V1915">
        <v>9.7857875842867897E-2</v>
      </c>
      <c r="W1915">
        <v>3.5825392379120066E-2</v>
      </c>
      <c r="X1915">
        <v>7.5501265521344205E-3</v>
      </c>
      <c r="Y1915">
        <v>1.6040403452668587E-3</v>
      </c>
    </row>
    <row r="1916" spans="1:25" x14ac:dyDescent="0.25">
      <c r="A1916" s="1096"/>
      <c r="B1916" s="1455">
        <v>1666</v>
      </c>
      <c r="C1916" s="1100">
        <v>1.0103799867858771</v>
      </c>
      <c r="D1916" s="1100">
        <v>0.98143893729118847</v>
      </c>
      <c r="E1916" s="1100">
        <v>0.99011976135723812</v>
      </c>
      <c r="F1916" s="1100">
        <v>1.0057142318099723</v>
      </c>
      <c r="G1916" s="1100">
        <v>1.0409248810522567</v>
      </c>
      <c r="H1916" s="1100">
        <v>1.0168829990159827</v>
      </c>
      <c r="I1916" s="1100">
        <v>1.0347230460554881</v>
      </c>
      <c r="K1916">
        <v>1.3269371518985644</v>
      </c>
      <c r="L1916">
        <v>0</v>
      </c>
      <c r="M1916">
        <v>6.2204856889261503E-4</v>
      </c>
      <c r="N1916">
        <v>5.5519680480152128E-2</v>
      </c>
      <c r="O1916">
        <v>7.7375762193917924E-3</v>
      </c>
      <c r="P1916">
        <v>1.626324055625401E-2</v>
      </c>
      <c r="Q1916">
        <v>4.435477702505242E-4</v>
      </c>
      <c r="R1916">
        <v>6.2024348609642985E-4</v>
      </c>
      <c r="S1916">
        <v>6.3178366440157632E-2</v>
      </c>
      <c r="T1916">
        <v>1.0385752797324406</v>
      </c>
      <c r="U1916">
        <v>0</v>
      </c>
      <c r="V1916">
        <v>9.9433419109158483E-2</v>
      </c>
      <c r="W1916">
        <v>3.6688306369169262E-2</v>
      </c>
      <c r="X1916">
        <v>7.4114419984406769E-3</v>
      </c>
      <c r="Y1916">
        <v>1.6880983059442409E-3</v>
      </c>
    </row>
    <row r="1917" spans="1:25" x14ac:dyDescent="0.25">
      <c r="A1917" s="1096"/>
      <c r="B1917" s="1455">
        <v>1667</v>
      </c>
      <c r="C1917" s="1100">
        <v>1.0234670086395237</v>
      </c>
      <c r="D1917" s="1100">
        <v>1.0202541327816219</v>
      </c>
      <c r="E1917" s="1100">
        <v>0.98800778990432558</v>
      </c>
      <c r="F1917" s="1100">
        <v>0.99847678639348514</v>
      </c>
      <c r="G1917" s="1100">
        <v>1.003631552407285</v>
      </c>
      <c r="H1917" s="1100">
        <v>1.0164660738211153</v>
      </c>
      <c r="I1917" s="1100">
        <v>1.0038622956681731</v>
      </c>
      <c r="K1917">
        <v>1.3101060561633402</v>
      </c>
      <c r="L1917">
        <v>0</v>
      </c>
      <c r="M1917">
        <v>6.0704151225538221E-4</v>
      </c>
      <c r="N1917">
        <v>5.3835307246527915E-2</v>
      </c>
      <c r="O1917">
        <v>7.5205365990122395E-3</v>
      </c>
      <c r="P1917">
        <v>1.6055454500150595E-2</v>
      </c>
      <c r="Q1917">
        <v>4.3018643881256532E-4</v>
      </c>
      <c r="R1917">
        <v>6.052792549421657E-4</v>
      </c>
      <c r="S1917">
        <v>5.9252784396567761E-2</v>
      </c>
      <c r="T1917">
        <v>1.0311648111272136</v>
      </c>
      <c r="U1917">
        <v>0</v>
      </c>
      <c r="V1917">
        <v>9.731348042647614E-2</v>
      </c>
      <c r="W1917">
        <v>3.562031684872248E-2</v>
      </c>
      <c r="X1917">
        <v>7.2675702354687245E-3</v>
      </c>
      <c r="Y1917">
        <v>1.6473706016998085E-3</v>
      </c>
    </row>
    <row r="1918" spans="1:25" x14ac:dyDescent="0.25">
      <c r="A1918" s="1096"/>
      <c r="B1918" s="1455">
        <v>1668</v>
      </c>
      <c r="C1918" s="1100">
        <v>0.96958978071007818</v>
      </c>
      <c r="D1918" s="1100">
        <v>1.0275263003325052</v>
      </c>
      <c r="E1918" s="1100">
        <v>0.97584176687259583</v>
      </c>
      <c r="F1918" s="1100">
        <v>1.0110731808654134</v>
      </c>
      <c r="G1918" s="1100">
        <v>1.0378268127467796</v>
      </c>
      <c r="H1918" s="1100">
        <v>0.97050939930592572</v>
      </c>
      <c r="I1918" s="1100">
        <v>1.0061875378778442</v>
      </c>
      <c r="K1918">
        <v>1.3284119308508469</v>
      </c>
      <c r="L1918">
        <v>0</v>
      </c>
      <c r="M1918">
        <v>6.2561334003089885E-4</v>
      </c>
      <c r="N1918">
        <v>5.3470063475764273E-2</v>
      </c>
      <c r="O1918">
        <v>7.9128713662711923E-3</v>
      </c>
      <c r="P1918">
        <v>1.6150646553680904E-2</v>
      </c>
      <c r="Q1918">
        <v>4.4707197526326685E-4</v>
      </c>
      <c r="R1918">
        <v>6.2371116676684729E-4</v>
      </c>
      <c r="S1918">
        <v>6.1000414123499679E-2</v>
      </c>
      <c r="T1918">
        <v>1.0445463607047432</v>
      </c>
      <c r="U1918">
        <v>0</v>
      </c>
      <c r="V1918">
        <v>0.10029911363370951</v>
      </c>
      <c r="W1918">
        <v>3.5639107354893076E-2</v>
      </c>
      <c r="X1918">
        <v>7.2506476466768707E-3</v>
      </c>
      <c r="Y1918">
        <v>1.6975361896084918E-3</v>
      </c>
    </row>
    <row r="1919" spans="1:25" x14ac:dyDescent="0.25">
      <c r="A1919" s="1096"/>
      <c r="B1919" s="1455">
        <v>1669</v>
      </c>
      <c r="C1919" s="1100">
        <v>1.0090016939075825</v>
      </c>
      <c r="D1919" s="1100">
        <v>1.020341832434903</v>
      </c>
      <c r="E1919" s="1100">
        <v>1.0118781772466245</v>
      </c>
      <c r="F1919" s="1100">
        <v>0.97649438684627976</v>
      </c>
      <c r="G1919" s="1100">
        <v>0.99733550360677736</v>
      </c>
      <c r="H1919" s="1100">
        <v>0.99732528386757979</v>
      </c>
      <c r="I1919" s="1100">
        <v>1.0212065511845405</v>
      </c>
      <c r="K1919">
        <v>1.2894865586067827</v>
      </c>
      <c r="L1919">
        <v>0</v>
      </c>
      <c r="M1919">
        <v>5.7494429805164042E-4</v>
      </c>
      <c r="N1919">
        <v>5.4798757964997023E-2</v>
      </c>
      <c r="O1919">
        <v>7.6338513398043328E-3</v>
      </c>
      <c r="P1919">
        <v>1.6041196949377945E-2</v>
      </c>
      <c r="Q1919">
        <v>4.4727280768538832E-4</v>
      </c>
      <c r="R1919">
        <v>5.7324318663076377E-4</v>
      </c>
      <c r="S1919">
        <v>6.0574490175895973E-2</v>
      </c>
      <c r="T1919">
        <v>1.0077689063030362</v>
      </c>
      <c r="U1919">
        <v>0</v>
      </c>
      <c r="V1919">
        <v>9.738253186530034E-2</v>
      </c>
      <c r="W1919">
        <v>3.5746988525708845E-2</v>
      </c>
      <c r="X1919">
        <v>7.5340848019532268E-3</v>
      </c>
      <c r="Y1919">
        <v>1.5601789844432526E-3</v>
      </c>
    </row>
    <row r="1920" spans="1:25" x14ac:dyDescent="0.25">
      <c r="A1920" s="1096"/>
      <c r="B1920" s="1455">
        <v>1670</v>
      </c>
      <c r="C1920" s="1100">
        <v>0.9768204072668718</v>
      </c>
      <c r="D1920" s="1100">
        <v>0.98641765345352339</v>
      </c>
      <c r="E1920" s="1100">
        <v>0.96465595364905199</v>
      </c>
      <c r="F1920" s="1100">
        <v>0.96566856913312837</v>
      </c>
      <c r="G1920" s="1100">
        <v>1.0080442824691849</v>
      </c>
      <c r="H1920" s="1100">
        <v>0.97957790664549227</v>
      </c>
      <c r="I1920" s="1100">
        <v>0.9924443170336219</v>
      </c>
      <c r="K1920">
        <v>1.2804202015448132</v>
      </c>
      <c r="L1920">
        <v>0</v>
      </c>
      <c r="M1920">
        <v>6.5198981035042452E-4</v>
      </c>
      <c r="N1920">
        <v>5.3870220287917561E-2</v>
      </c>
      <c r="O1920">
        <v>7.9808145874955896E-3</v>
      </c>
      <c r="P1920">
        <v>1.537674778875558E-2</v>
      </c>
      <c r="Q1920">
        <v>4.4578562077663862E-4</v>
      </c>
      <c r="R1920">
        <v>6.5002579152955819E-4</v>
      </c>
      <c r="S1920">
        <v>6.1320503485677684E-2</v>
      </c>
      <c r="T1920">
        <v>0.99796969027439197</v>
      </c>
      <c r="U1920">
        <v>0</v>
      </c>
      <c r="V1920">
        <v>9.8656964576619655E-2</v>
      </c>
      <c r="W1920">
        <v>3.6151056956697521E-2</v>
      </c>
      <c r="X1920">
        <v>6.8812260617032214E-3</v>
      </c>
      <c r="Y1920">
        <v>1.7691559235988689E-3</v>
      </c>
    </row>
    <row r="1921" spans="1:25" x14ac:dyDescent="0.25">
      <c r="A1921" s="1096"/>
      <c r="B1921" s="1455">
        <v>1671</v>
      </c>
      <c r="C1921" s="1100">
        <v>0.98591513824215971</v>
      </c>
      <c r="D1921" s="1100">
        <v>0.9724370327895554</v>
      </c>
      <c r="E1921" s="1100">
        <v>1.0241322085318549</v>
      </c>
      <c r="F1921" s="1100">
        <v>0.98898799672765447</v>
      </c>
      <c r="G1921" s="1100">
        <v>1.0210499199652894</v>
      </c>
      <c r="H1921" s="1100">
        <v>0.99798416627489506</v>
      </c>
      <c r="I1921" s="1100">
        <v>0.97336695673247908</v>
      </c>
      <c r="K1921">
        <v>1.3097319976813326</v>
      </c>
      <c r="L1921">
        <v>0</v>
      </c>
      <c r="M1921">
        <v>5.8512545246650343E-4</v>
      </c>
      <c r="N1921">
        <v>5.7869806527896299E-2</v>
      </c>
      <c r="O1921">
        <v>7.9674328776280206E-3</v>
      </c>
      <c r="P1921">
        <v>1.6385652868390083E-2</v>
      </c>
      <c r="Q1921">
        <v>4.7254561025510794E-4</v>
      </c>
      <c r="R1921">
        <v>5.8339536062814747E-4</v>
      </c>
      <c r="S1921">
        <v>6.0665575251636454E-2</v>
      </c>
      <c r="T1921">
        <v>1.0203084110563865</v>
      </c>
      <c r="U1921">
        <v>0</v>
      </c>
      <c r="V1921">
        <v>9.9119036899101606E-2</v>
      </c>
      <c r="W1921">
        <v>3.7480234817826627E-2</v>
      </c>
      <c r="X1921">
        <v>7.8772220086493431E-3</v>
      </c>
      <c r="Y1921">
        <v>1.5878098554008722E-3</v>
      </c>
    </row>
    <row r="1922" spans="1:25" x14ac:dyDescent="0.25">
      <c r="A1922" s="1096"/>
      <c r="B1922" s="1455">
        <v>1672</v>
      </c>
      <c r="C1922" s="1100">
        <v>0.9693624938987041</v>
      </c>
      <c r="D1922" s="1100">
        <v>0.99697768719015822</v>
      </c>
      <c r="E1922" s="1100">
        <v>0.96468869841350358</v>
      </c>
      <c r="F1922" s="1100">
        <v>0.99058920255809013</v>
      </c>
      <c r="G1922" s="1100">
        <v>0.99845693271438507</v>
      </c>
      <c r="H1922" s="1100">
        <v>1.0289833255842078</v>
      </c>
      <c r="I1922" s="1100">
        <v>0.99982794133315334</v>
      </c>
      <c r="K1922">
        <v>1.3135428839237939</v>
      </c>
      <c r="L1922">
        <v>0</v>
      </c>
      <c r="M1922">
        <v>6.8716258041283515E-4</v>
      </c>
      <c r="N1922">
        <v>5.6790215946907731E-2</v>
      </c>
      <c r="O1922">
        <v>8.0080419540108794E-3</v>
      </c>
      <c r="P1922">
        <v>1.5743873403903066E-2</v>
      </c>
      <c r="Q1922">
        <v>4.4732147923307681E-4</v>
      </c>
      <c r="R1922">
        <v>6.8519199627315277E-4</v>
      </c>
      <c r="S1922">
        <v>6.3453435502705977E-2</v>
      </c>
      <c r="T1922">
        <v>1.0237229063844613</v>
      </c>
      <c r="U1922">
        <v>0</v>
      </c>
      <c r="V1922">
        <v>9.8388385420729002E-2</v>
      </c>
      <c r="W1922">
        <v>3.810983566139866E-2</v>
      </c>
      <c r="X1922">
        <v>7.0159720142078993E-3</v>
      </c>
      <c r="Y1922">
        <v>1.8648667403746548E-3</v>
      </c>
    </row>
    <row r="1923" spans="1:25" x14ac:dyDescent="0.25">
      <c r="A1923" s="1096"/>
      <c r="B1923" s="1455">
        <v>1673</v>
      </c>
      <c r="C1923" s="1100">
        <v>0.98894054966197098</v>
      </c>
      <c r="D1923" s="1100">
        <v>0.9872596061487714</v>
      </c>
      <c r="E1923" s="1100">
        <v>0.99479648596705805</v>
      </c>
      <c r="F1923" s="1100">
        <v>0.99420607427490648</v>
      </c>
      <c r="G1923" s="1100">
        <v>1.0360411592780292</v>
      </c>
      <c r="H1923" s="1100">
        <v>0.9834352278124322</v>
      </c>
      <c r="I1923" s="1100">
        <v>0.97791525915304989</v>
      </c>
      <c r="K1923">
        <v>1.3108124799820122</v>
      </c>
      <c r="L1923">
        <v>0</v>
      </c>
      <c r="M1923">
        <v>6.0726502549657453E-4</v>
      </c>
      <c r="N1923">
        <v>5.4966446442852035E-2</v>
      </c>
      <c r="O1923">
        <v>7.8878097920037169E-3</v>
      </c>
      <c r="P1923">
        <v>1.6115294171895628E-2</v>
      </c>
      <c r="Q1923">
        <v>4.5429926487734637E-4</v>
      </c>
      <c r="R1923">
        <v>6.0544290821771044E-4</v>
      </c>
      <c r="S1923">
        <v>5.9800848919694102E-2</v>
      </c>
      <c r="T1923">
        <v>1.0265516580498923</v>
      </c>
      <c r="U1923">
        <v>0</v>
      </c>
      <c r="V1923">
        <v>9.9734121341804649E-2</v>
      </c>
      <c r="W1923">
        <v>3.6221296493449677E-2</v>
      </c>
      <c r="X1923">
        <v>7.434711610852858E-3</v>
      </c>
      <c r="Y1923">
        <v>1.6478160119675533E-3</v>
      </c>
    </row>
    <row r="1924" spans="1:25" x14ac:dyDescent="0.25">
      <c r="A1924" s="1096"/>
      <c r="B1924" s="1455">
        <v>1674</v>
      </c>
      <c r="C1924" s="1100">
        <v>0.98537511181492543</v>
      </c>
      <c r="D1924" s="1100">
        <v>0.98272912865543305</v>
      </c>
      <c r="E1924" s="1100">
        <v>1.0176542776803839</v>
      </c>
      <c r="F1924" s="1100">
        <v>0.97601505844967495</v>
      </c>
      <c r="G1924" s="1100">
        <v>0.99664964733206396</v>
      </c>
      <c r="H1924" s="1100">
        <v>1.0133961385627459</v>
      </c>
      <c r="I1924" s="1100">
        <v>1.0134557593445004</v>
      </c>
      <c r="K1924">
        <v>1.2983092415836899</v>
      </c>
      <c r="L1924">
        <v>0</v>
      </c>
      <c r="M1924">
        <v>6.0002310103986635E-4</v>
      </c>
      <c r="N1924">
        <v>5.8197448792749781E-2</v>
      </c>
      <c r="O1924">
        <v>7.9366682344391738E-3</v>
      </c>
      <c r="P1924">
        <v>1.6146224737207643E-2</v>
      </c>
      <c r="Q1924">
        <v>4.6770074735970476E-4</v>
      </c>
      <c r="R1924">
        <v>5.9827594157851264E-4</v>
      </c>
      <c r="S1924">
        <v>6.3323316888545797E-2</v>
      </c>
      <c r="T1924">
        <v>1.0071088987023582</v>
      </c>
      <c r="U1924">
        <v>0</v>
      </c>
      <c r="V1924">
        <v>9.7944898331757221E-2</v>
      </c>
      <c r="W1924">
        <v>3.7835459562563283E-2</v>
      </c>
      <c r="X1924">
        <v>7.7220628548047999E-3</v>
      </c>
      <c r="Y1924">
        <v>1.6283098913655745E-3</v>
      </c>
    </row>
    <row r="1925" spans="1:25" x14ac:dyDescent="0.25">
      <c r="A1925" s="1096"/>
      <c r="B1925" s="1455">
        <v>1675</v>
      </c>
      <c r="C1925" s="1100">
        <v>1.0351391824918961</v>
      </c>
      <c r="D1925" s="1100">
        <v>1.0020860304428756</v>
      </c>
      <c r="E1925" s="1100">
        <v>0.98294368614841121</v>
      </c>
      <c r="F1925" s="1100">
        <v>0.99098777158644968</v>
      </c>
      <c r="G1925" s="1100">
        <v>1.0143289094339782</v>
      </c>
      <c r="H1925" s="1100">
        <v>0.96863009316074289</v>
      </c>
      <c r="I1925" s="1100">
        <v>0.98171594615829261</v>
      </c>
      <c r="K1925">
        <v>1.2946442983176059</v>
      </c>
      <c r="L1925">
        <v>0</v>
      </c>
      <c r="M1925">
        <v>5.8214553393312423E-4</v>
      </c>
      <c r="N1925">
        <v>5.0835398630322291E-2</v>
      </c>
      <c r="O1925">
        <v>7.4881725956848742E-3</v>
      </c>
      <c r="P1925">
        <v>1.5857561389736773E-2</v>
      </c>
      <c r="Q1925">
        <v>4.2614279548413143E-4</v>
      </c>
      <c r="R1925">
        <v>5.8037209013086046E-4</v>
      </c>
      <c r="S1925">
        <v>5.6457022672012004E-2</v>
      </c>
      <c r="T1925">
        <v>1.0235821733923622</v>
      </c>
      <c r="U1925">
        <v>0</v>
      </c>
      <c r="V1925">
        <v>9.755238218189359E-2</v>
      </c>
      <c r="W1925">
        <v>3.3737979089880507E-2</v>
      </c>
      <c r="X1925">
        <v>7.129657504302239E-3</v>
      </c>
      <c r="Y1925">
        <v>1.5795815097281092E-3</v>
      </c>
    </row>
    <row r="1926" spans="1:25" x14ac:dyDescent="0.25">
      <c r="A1926" s="1096"/>
      <c r="B1926" s="1455">
        <v>1676</v>
      </c>
      <c r="C1926" s="1100">
        <v>1.0048195065021124</v>
      </c>
      <c r="D1926" s="1100">
        <v>0.99282438704696974</v>
      </c>
      <c r="E1926" s="1100">
        <v>0.98701500697656996</v>
      </c>
      <c r="F1926" s="1100">
        <v>1.0022093116189192</v>
      </c>
      <c r="G1926" s="1100">
        <v>1.0241157984823506</v>
      </c>
      <c r="H1926" s="1100">
        <v>0.99126344530729837</v>
      </c>
      <c r="I1926" s="1100">
        <v>0.98130692046338241</v>
      </c>
      <c r="K1926">
        <v>1.3159473772113617</v>
      </c>
      <c r="L1926">
        <v>0</v>
      </c>
      <c r="M1926">
        <v>6.1083985600361007E-4</v>
      </c>
      <c r="N1926">
        <v>5.4005774422054904E-2</v>
      </c>
      <c r="O1926">
        <v>7.7438222571499724E-3</v>
      </c>
      <c r="P1926">
        <v>1.6113397541305547E-2</v>
      </c>
      <c r="Q1926">
        <v>4.4251384010739983E-4</v>
      </c>
      <c r="R1926">
        <v>6.0902148669134592E-4</v>
      </c>
      <c r="S1926">
        <v>5.9108390338754375E-2</v>
      </c>
      <c r="T1926">
        <v>1.0350495178542907</v>
      </c>
      <c r="U1926">
        <v>0</v>
      </c>
      <c r="V1926">
        <v>9.8752548256034647E-2</v>
      </c>
      <c r="W1926">
        <v>3.5754407093438148E-2</v>
      </c>
      <c r="X1926">
        <v>7.3212682546442637E-3</v>
      </c>
      <c r="Y1926">
        <v>1.6575557228947126E-3</v>
      </c>
    </row>
    <row r="1927" spans="1:25" x14ac:dyDescent="0.25">
      <c r="A1927" s="1096"/>
      <c r="B1927" s="1455">
        <v>1677</v>
      </c>
      <c r="C1927" s="1100">
        <v>1.0084680697721511</v>
      </c>
      <c r="D1927" s="1100">
        <v>1.0431720550481114</v>
      </c>
      <c r="E1927" s="1100">
        <v>0.99692877868010976</v>
      </c>
      <c r="F1927" s="1100">
        <v>0.98872951568542899</v>
      </c>
      <c r="G1927" s="1100">
        <v>0.99953774679948182</v>
      </c>
      <c r="H1927" s="1100">
        <v>0.99249402759790306</v>
      </c>
      <c r="I1927" s="1100">
        <v>1.0111114831096499</v>
      </c>
      <c r="K1927">
        <v>1.2988420614319751</v>
      </c>
      <c r="L1927">
        <v>0</v>
      </c>
      <c r="M1927">
        <v>5.8530057686093486E-4</v>
      </c>
      <c r="N1927">
        <v>5.3322303076154036E-2</v>
      </c>
      <c r="O1927">
        <v>7.5670029412464954E-3</v>
      </c>
      <c r="P1927">
        <v>1.6023637627849144E-2</v>
      </c>
      <c r="Q1927">
        <v>4.3675962234205983E-4</v>
      </c>
      <c r="R1927">
        <v>5.8356039407420795E-4</v>
      </c>
      <c r="S1927">
        <v>5.9140664089704836E-2</v>
      </c>
      <c r="T1927">
        <v>1.0208339119961938</v>
      </c>
      <c r="U1927">
        <v>0</v>
      </c>
      <c r="V1927">
        <v>9.7485418311568789E-2</v>
      </c>
      <c r="W1927">
        <v>3.5093205421028555E-2</v>
      </c>
      <c r="X1927">
        <v>7.3526395066375802E-3</v>
      </c>
      <c r="Y1927">
        <v>1.5882590220377881E-3</v>
      </c>
    </row>
    <row r="1928" spans="1:25" x14ac:dyDescent="0.25">
      <c r="A1928" s="1096"/>
      <c r="B1928" s="1455">
        <v>1678</v>
      </c>
      <c r="C1928" s="1100">
        <v>1.0215498283677666</v>
      </c>
      <c r="D1928" s="1100">
        <v>0.97988622824028038</v>
      </c>
      <c r="E1928" s="1100">
        <v>0.9890939187043164</v>
      </c>
      <c r="F1928" s="1100">
        <v>0.99547867044693994</v>
      </c>
      <c r="G1928" s="1100">
        <v>0.95226109878821397</v>
      </c>
      <c r="H1928" s="1100">
        <v>0.98485042590760474</v>
      </c>
      <c r="I1928" s="1100">
        <v>0.98508929046323013</v>
      </c>
      <c r="K1928">
        <v>1.3027867175773671</v>
      </c>
      <c r="L1928">
        <v>0</v>
      </c>
      <c r="M1928">
        <v>5.9751176073070413E-4</v>
      </c>
      <c r="N1928">
        <v>5.3159510811872222E-2</v>
      </c>
      <c r="O1928">
        <v>7.6575722159288526E-3</v>
      </c>
      <c r="P1928">
        <v>1.5984290874560596E-2</v>
      </c>
      <c r="Q1928">
        <v>4.3850661493214082E-4</v>
      </c>
      <c r="R1928">
        <v>5.9572148469159546E-4</v>
      </c>
      <c r="S1928">
        <v>5.8588909859699716E-2</v>
      </c>
      <c r="T1928">
        <v>1.0280359911495653</v>
      </c>
      <c r="U1928">
        <v>0</v>
      </c>
      <c r="V1928">
        <v>9.487515104006139E-2</v>
      </c>
      <c r="W1928">
        <v>3.5150269331208517E-2</v>
      </c>
      <c r="X1928">
        <v>7.2769484537817094E-3</v>
      </c>
      <c r="Y1928">
        <v>1.6213575017958728E-3</v>
      </c>
    </row>
    <row r="1929" spans="1:25" x14ac:dyDescent="0.25">
      <c r="A1929" s="1096"/>
      <c r="B1929" s="1455">
        <v>1679</v>
      </c>
      <c r="C1929" s="1100">
        <v>0.97755497326752883</v>
      </c>
      <c r="D1929" s="1100">
        <v>1.0089190667453087</v>
      </c>
      <c r="E1929" s="1100">
        <v>1.005025053031976</v>
      </c>
      <c r="F1929" s="1100">
        <v>1.0277021274808724</v>
      </c>
      <c r="G1929" s="1100">
        <v>0.97981162215512951</v>
      </c>
      <c r="H1929" s="1100">
        <v>0.98808784896592095</v>
      </c>
      <c r="I1929" s="1100">
        <v>0.9652054440310216</v>
      </c>
      <c r="K1929">
        <v>1.3442746316849377</v>
      </c>
      <c r="L1929">
        <v>0</v>
      </c>
      <c r="M1929">
        <v>5.9906329054273987E-4</v>
      </c>
      <c r="N1929">
        <v>5.5926702835267302E-2</v>
      </c>
      <c r="O1929">
        <v>7.9132689278589262E-3</v>
      </c>
      <c r="P1929">
        <v>1.6666180026805186E-2</v>
      </c>
      <c r="Q1929">
        <v>4.6047597554245786E-4</v>
      </c>
      <c r="R1929">
        <v>5.9727424676666847E-4</v>
      </c>
      <c r="S1929">
        <v>5.9168072144647872E-2</v>
      </c>
      <c r="T1929">
        <v>1.060824558061916</v>
      </c>
      <c r="U1929">
        <v>0</v>
      </c>
      <c r="V1929">
        <v>9.7317296356397742E-2</v>
      </c>
      <c r="W1929">
        <v>3.6630693853278586E-2</v>
      </c>
      <c r="X1929">
        <v>7.74358893870415E-3</v>
      </c>
      <c r="Y1929">
        <v>1.6255836082963409E-3</v>
      </c>
    </row>
    <row r="1930" spans="1:25" x14ac:dyDescent="0.25">
      <c r="A1930" s="1096"/>
      <c r="B1930" s="1455">
        <v>1680</v>
      </c>
      <c r="C1930" s="1100">
        <v>0.98891415380479175</v>
      </c>
      <c r="D1930" s="1100">
        <v>1.0044405361640432</v>
      </c>
      <c r="E1930" s="1100">
        <v>1.0405024976164139</v>
      </c>
      <c r="F1930" s="1100">
        <v>1.0081141620815086</v>
      </c>
      <c r="G1930" s="1100">
        <v>0.99044341587417895</v>
      </c>
      <c r="H1930" s="1100">
        <v>0.97662045207830595</v>
      </c>
      <c r="I1930" s="1100">
        <v>1.0333175910123689</v>
      </c>
      <c r="K1930">
        <v>1.3272878401121453</v>
      </c>
      <c r="L1930">
        <v>0</v>
      </c>
      <c r="M1930">
        <v>5.4461205279154054E-4</v>
      </c>
      <c r="N1930">
        <v>5.658361142831627E-2</v>
      </c>
      <c r="O1930">
        <v>7.8451266830292417E-3</v>
      </c>
      <c r="P1930">
        <v>1.6855094038203747E-2</v>
      </c>
      <c r="Q1930">
        <v>4.7287410656639674E-4</v>
      </c>
      <c r="R1930">
        <v>5.4296652488493725E-4</v>
      </c>
      <c r="S1930">
        <v>6.2436137233006235E-2</v>
      </c>
      <c r="T1930">
        <v>1.0395648797503696</v>
      </c>
      <c r="U1930">
        <v>0</v>
      </c>
      <c r="V1930">
        <v>9.7580412522261212E-2</v>
      </c>
      <c r="W1930">
        <v>3.6301242339372632E-2</v>
      </c>
      <c r="X1930">
        <v>8.1723316470555894E-3</v>
      </c>
      <c r="Y1930">
        <v>1.4777758918699756E-3</v>
      </c>
    </row>
    <row r="1931" spans="1:25" x14ac:dyDescent="0.25">
      <c r="A1931" s="1096"/>
      <c r="B1931" s="1455">
        <v>1681</v>
      </c>
      <c r="C1931" s="1100">
        <v>0.99720268909897491</v>
      </c>
      <c r="D1931" s="1100">
        <v>1.0040595376581594</v>
      </c>
      <c r="E1931" s="1100">
        <v>0.98249297532285595</v>
      </c>
      <c r="F1931" s="1100">
        <v>0.9605867733083201</v>
      </c>
      <c r="G1931" s="1100">
        <v>0.99610498279847559</v>
      </c>
      <c r="H1931" s="1100">
        <v>1.0051924257875109</v>
      </c>
      <c r="I1931" s="1100">
        <v>0.99883559336308314</v>
      </c>
      <c r="K1931">
        <v>1.2739289404964729</v>
      </c>
      <c r="L1931">
        <v>0</v>
      </c>
      <c r="M1931">
        <v>6.2719309741574394E-4</v>
      </c>
      <c r="N1931">
        <v>5.4700597866867026E-2</v>
      </c>
      <c r="O1931">
        <v>7.7668191564616929E-3</v>
      </c>
      <c r="P1931">
        <v>1.5486905530960939E-2</v>
      </c>
      <c r="Q1931">
        <v>4.4179810354161493E-4</v>
      </c>
      <c r="R1931">
        <v>6.2535191897479623E-4</v>
      </c>
      <c r="S1931">
        <v>6.0679367235446001E-2</v>
      </c>
      <c r="T1931">
        <v>0.99219437151660639</v>
      </c>
      <c r="U1931">
        <v>0</v>
      </c>
      <c r="V1931">
        <v>9.7580923003635592E-2</v>
      </c>
      <c r="W1931">
        <v>3.6313059660512279E-2</v>
      </c>
      <c r="X1931">
        <v>7.0649378246367628E-3</v>
      </c>
      <c r="Y1931">
        <v>1.7020017762447083E-3</v>
      </c>
    </row>
    <row r="1932" spans="1:25" x14ac:dyDescent="0.25">
      <c r="A1932" s="1096"/>
      <c r="B1932" s="1455">
        <v>1682</v>
      </c>
      <c r="C1932" s="1100">
        <v>0.99686854898023403</v>
      </c>
      <c r="D1932" s="1100">
        <v>0.98553799148123666</v>
      </c>
      <c r="E1932" s="1100">
        <v>0.98644426348058822</v>
      </c>
      <c r="F1932" s="1100">
        <v>1.0081531766982339</v>
      </c>
      <c r="G1932" s="1100">
        <v>0.99775345116131187</v>
      </c>
      <c r="H1932" s="1100">
        <v>1.0086776780464046</v>
      </c>
      <c r="I1932" s="1100">
        <v>0.99124358671928714</v>
      </c>
      <c r="K1932">
        <v>1.3256855600677699</v>
      </c>
      <c r="L1932">
        <v>0</v>
      </c>
      <c r="M1932">
        <v>6.291201081494313E-4</v>
      </c>
      <c r="N1932">
        <v>5.5528914368322586E-2</v>
      </c>
      <c r="O1932">
        <v>7.8284780786691838E-3</v>
      </c>
      <c r="P1932">
        <v>1.6199907008871226E-2</v>
      </c>
      <c r="Q1932">
        <v>4.4709295587925493E-4</v>
      </c>
      <c r="R1932">
        <v>6.2727965411740099E-4</v>
      </c>
      <c r="S1932">
        <v>6.0952951515165846E-2</v>
      </c>
      <c r="T1932">
        <v>1.0412055050930444</v>
      </c>
      <c r="U1932">
        <v>0</v>
      </c>
      <c r="V1932">
        <v>9.7673372895579161E-2</v>
      </c>
      <c r="W1932">
        <v>3.6775402930017645E-2</v>
      </c>
      <c r="X1932">
        <v>7.3685272404257155E-3</v>
      </c>
      <c r="Y1932">
        <v>1.7072484358251596E-3</v>
      </c>
    </row>
    <row r="1933" spans="1:25" x14ac:dyDescent="0.25">
      <c r="A1933" s="1096"/>
      <c r="B1933" s="1455">
        <v>1683</v>
      </c>
      <c r="C1933" s="1100">
        <v>0.96946728808491123</v>
      </c>
      <c r="D1933" s="1100">
        <v>0.97779411822945128</v>
      </c>
      <c r="E1933" s="1100">
        <v>0.98045208902431535</v>
      </c>
      <c r="F1933" s="1100">
        <v>0.96842507301686243</v>
      </c>
      <c r="G1933" s="1100">
        <v>1.0202164024888274</v>
      </c>
      <c r="H1933" s="1100">
        <v>0.98565153021460294</v>
      </c>
      <c r="I1933" s="1100">
        <v>0.98362408291118331</v>
      </c>
      <c r="K1933">
        <v>1.2872066705983478</v>
      </c>
      <c r="L1933">
        <v>0</v>
      </c>
      <c r="M1933">
        <v>6.4204248299468852E-4</v>
      </c>
      <c r="N1933">
        <v>5.564776518856742E-2</v>
      </c>
      <c r="O1933">
        <v>8.0736576226766738E-3</v>
      </c>
      <c r="P1933">
        <v>1.5611927497998038E-2</v>
      </c>
      <c r="Q1933">
        <v>4.583010374994734E-4</v>
      </c>
      <c r="R1933">
        <v>6.4012034668157385E-4</v>
      </c>
      <c r="S1933">
        <v>6.173202811888618E-2</v>
      </c>
      <c r="T1933">
        <v>1.0003505094644698</v>
      </c>
      <c r="U1933">
        <v>0</v>
      </c>
      <c r="V1933">
        <v>9.9455725377775625E-2</v>
      </c>
      <c r="W1933">
        <v>3.6987337479775229E-2</v>
      </c>
      <c r="X1933">
        <v>7.1491443789588292E-3</v>
      </c>
      <c r="Y1933">
        <v>1.7421965680516722E-3</v>
      </c>
    </row>
    <row r="1934" spans="1:25" x14ac:dyDescent="0.25">
      <c r="A1934" s="1096"/>
      <c r="B1934" s="1455">
        <v>1684</v>
      </c>
      <c r="C1934" s="1100">
        <v>0.96721525734766434</v>
      </c>
      <c r="D1934" s="1100">
        <v>1.0128389829023772</v>
      </c>
      <c r="E1934" s="1100">
        <v>1.0095984926994657</v>
      </c>
      <c r="F1934" s="1100">
        <v>1.0275131884392894</v>
      </c>
      <c r="G1934" s="1100">
        <v>1.0129735312207906</v>
      </c>
      <c r="H1934" s="1100">
        <v>0.9873829911442995</v>
      </c>
      <c r="I1934" s="1100">
        <v>1.0108790356296182</v>
      </c>
      <c r="K1934">
        <v>1.3505287004657049</v>
      </c>
      <c r="L1934">
        <v>0</v>
      </c>
      <c r="M1934">
        <v>5.9838752263695501E-4</v>
      </c>
      <c r="N1934">
        <v>5.6640318319927406E-2</v>
      </c>
      <c r="O1934">
        <v>7.9866235849197949E-3</v>
      </c>
      <c r="P1934">
        <v>1.6789583081927954E-2</v>
      </c>
      <c r="Q1934">
        <v>4.6687725844778291E-4</v>
      </c>
      <c r="R1934">
        <v>5.9659922128100834E-4</v>
      </c>
      <c r="S1934">
        <v>6.2482343454696609E-2</v>
      </c>
      <c r="T1934">
        <v>1.0604906781075343</v>
      </c>
      <c r="U1934">
        <v>0</v>
      </c>
      <c r="V1934">
        <v>9.9197857722026772E-2</v>
      </c>
      <c r="W1934">
        <v>3.6997970625661902E-2</v>
      </c>
      <c r="X1934">
        <v>7.8544902004708626E-3</v>
      </c>
      <c r="Y1934">
        <v>1.6237464114464658E-3</v>
      </c>
    </row>
    <row r="1935" spans="1:25" x14ac:dyDescent="0.25">
      <c r="A1935" s="1096"/>
      <c r="B1935" s="1455">
        <v>1685</v>
      </c>
      <c r="C1935" s="1100">
        <v>1.0108344510845377</v>
      </c>
      <c r="D1935" s="1100">
        <v>1.0045462599093966</v>
      </c>
      <c r="E1935" s="1100">
        <v>1.0254044013995707</v>
      </c>
      <c r="F1935" s="1100">
        <v>0.98670249040721825</v>
      </c>
      <c r="G1935" s="1100">
        <v>1.0226468641755535</v>
      </c>
      <c r="H1935" s="1100">
        <v>0.99842944326301952</v>
      </c>
      <c r="I1935" s="1100">
        <v>1.0252922996598433</v>
      </c>
      <c r="K1935">
        <v>1.3035003475803655</v>
      </c>
      <c r="L1935">
        <v>0</v>
      </c>
      <c r="M1935">
        <v>5.6209333361507692E-4</v>
      </c>
      <c r="N1935">
        <v>5.5805661303861338E-2</v>
      </c>
      <c r="O1935">
        <v>7.6710013288859907E-3</v>
      </c>
      <c r="P1935">
        <v>1.6368395618597514E-2</v>
      </c>
      <c r="Q1935">
        <v>4.5553862833759611E-4</v>
      </c>
      <c r="R1935">
        <v>5.6043208407663316E-4</v>
      </c>
      <c r="S1935">
        <v>6.126406075130774E-2</v>
      </c>
      <c r="T1935">
        <v>1.0179140842033925</v>
      </c>
      <c r="U1935">
        <v>0</v>
      </c>
      <c r="V1935">
        <v>9.8577819139950645E-2</v>
      </c>
      <c r="W1935">
        <v>3.6116569719166491E-2</v>
      </c>
      <c r="X1935">
        <v>7.8035667499356393E-3</v>
      </c>
      <c r="Y1935">
        <v>1.5253113864697315E-3</v>
      </c>
    </row>
    <row r="1936" spans="1:25" x14ac:dyDescent="0.25">
      <c r="A1936" s="1096"/>
      <c r="B1936" s="1455">
        <v>1686</v>
      </c>
      <c r="C1936" s="1100">
        <v>0.99000195623734866</v>
      </c>
      <c r="D1936" s="1100">
        <v>0.98250538944002819</v>
      </c>
      <c r="E1936" s="1100">
        <v>1.0027003810744457</v>
      </c>
      <c r="F1936" s="1100">
        <v>1.0086451585318736</v>
      </c>
      <c r="G1936" s="1100">
        <v>1.0051679857878568</v>
      </c>
      <c r="H1936" s="1100">
        <v>0.97723907406004551</v>
      </c>
      <c r="I1936" s="1100">
        <v>1.0216095008302046</v>
      </c>
      <c r="K1936">
        <v>1.3270434123988957</v>
      </c>
      <c r="L1936">
        <v>0</v>
      </c>
      <c r="M1936">
        <v>5.9413771342364211E-4</v>
      </c>
      <c r="N1936">
        <v>5.5076946784745472E-2</v>
      </c>
      <c r="O1936">
        <v>7.8965551541811292E-3</v>
      </c>
      <c r="P1936">
        <v>1.6425807538469981E-2</v>
      </c>
      <c r="Q1936">
        <v>4.5843320787641899E-4</v>
      </c>
      <c r="R1936">
        <v>5.9234368171261762E-4</v>
      </c>
      <c r="S1936">
        <v>6.2379434218092486E-2</v>
      </c>
      <c r="T1936">
        <v>1.0412229131251969</v>
      </c>
      <c r="U1936">
        <v>0</v>
      </c>
      <c r="V1936">
        <v>9.8222620030913255E-2</v>
      </c>
      <c r="W1936">
        <v>3.6123847970075257E-2</v>
      </c>
      <c r="X1936">
        <v>7.6264841654761261E-3</v>
      </c>
      <c r="Y1936">
        <v>1.6121642355795473E-3</v>
      </c>
    </row>
    <row r="1937" spans="1:25" x14ac:dyDescent="0.25">
      <c r="A1937" s="1096"/>
      <c r="B1937" s="1455">
        <v>1687</v>
      </c>
      <c r="C1937" s="1100">
        <v>0.99523589529108558</v>
      </c>
      <c r="D1937" s="1100">
        <v>1.0086739308332002</v>
      </c>
      <c r="E1937" s="1100">
        <v>0.98781282095066125</v>
      </c>
      <c r="F1937" s="1100">
        <v>0.9936005605399556</v>
      </c>
      <c r="G1937" s="1100">
        <v>0.98597635442055598</v>
      </c>
      <c r="H1937" s="1100">
        <v>0.99172910825275296</v>
      </c>
      <c r="I1937" s="1100">
        <v>0.99689974154191208</v>
      </c>
      <c r="K1937">
        <v>1.3067159008428297</v>
      </c>
      <c r="L1937">
        <v>0</v>
      </c>
      <c r="M1937">
        <v>6.1210329027229428E-4</v>
      </c>
      <c r="N1937">
        <v>5.4248274994470221E-2</v>
      </c>
      <c r="O1937">
        <v>7.7692124635914094E-3</v>
      </c>
      <c r="P1937">
        <v>1.5994677823752058E-2</v>
      </c>
      <c r="Q1937">
        <v>4.4432341448209128E-4</v>
      </c>
      <c r="R1937">
        <v>6.1028201549994277E-4</v>
      </c>
      <c r="S1937">
        <v>6.0127440689138834E-2</v>
      </c>
      <c r="T1937">
        <v>1.0261347839616171</v>
      </c>
      <c r="U1937">
        <v>0</v>
      </c>
      <c r="V1937">
        <v>9.714597459413872E-2</v>
      </c>
      <c r="W1937">
        <v>3.5897757872883906E-2</v>
      </c>
      <c r="X1937">
        <v>7.2942898367488991E-3</v>
      </c>
      <c r="Y1937">
        <v>1.6609864667785029E-3</v>
      </c>
    </row>
    <row r="1938" spans="1:25" x14ac:dyDescent="0.25">
      <c r="A1938" s="1096"/>
      <c r="B1938" s="1455">
        <v>1688</v>
      </c>
      <c r="C1938" s="1100">
        <v>1.0219780656447197</v>
      </c>
      <c r="D1938" s="1100">
        <v>1.0223277915523739</v>
      </c>
      <c r="E1938" s="1100">
        <v>1.038614263435353</v>
      </c>
      <c r="F1938" s="1100">
        <v>0.97215290803846433</v>
      </c>
      <c r="G1938" s="1100">
        <v>1.0022367410862802</v>
      </c>
      <c r="H1938" s="1100">
        <v>1.000480500196006</v>
      </c>
      <c r="I1938" s="1100">
        <v>0.99751241366849297</v>
      </c>
      <c r="K1938">
        <v>1.2832345444959699</v>
      </c>
      <c r="L1938">
        <v>0</v>
      </c>
      <c r="M1938">
        <v>5.3818541124982255E-4</v>
      </c>
      <c r="N1938">
        <v>5.5602760596239434E-2</v>
      </c>
      <c r="O1938">
        <v>7.5374518367848711E-3</v>
      </c>
      <c r="P1938">
        <v>1.625360335197671E-2</v>
      </c>
      <c r="Q1938">
        <v>4.534856836089231E-4</v>
      </c>
      <c r="R1938">
        <v>5.3659808166437199E-4</v>
      </c>
      <c r="S1938">
        <v>5.8475424973065959E-2</v>
      </c>
      <c r="T1938">
        <v>1.0025342097695551</v>
      </c>
      <c r="U1938">
        <v>0</v>
      </c>
      <c r="V1938">
        <v>9.7337651017635585E-2</v>
      </c>
      <c r="W1938">
        <v>3.5710805417968387E-2</v>
      </c>
      <c r="X1938">
        <v>7.8702960899382848E-3</v>
      </c>
      <c r="Y1938">
        <v>1.4604430887803399E-3</v>
      </c>
    </row>
    <row r="1939" spans="1:25" x14ac:dyDescent="0.25">
      <c r="A1939" s="1096"/>
      <c r="B1939" s="1455">
        <v>1689</v>
      </c>
      <c r="C1939" s="1100">
        <v>0.99724354918623404</v>
      </c>
      <c r="D1939" s="1100">
        <v>1.009287308372496</v>
      </c>
      <c r="E1939" s="1100">
        <v>0.98434221730988025</v>
      </c>
      <c r="F1939" s="1100">
        <v>1.0294671465560814</v>
      </c>
      <c r="G1939" s="1100">
        <v>0.99752593162343051</v>
      </c>
      <c r="H1939" s="1100">
        <v>0.97915660205615118</v>
      </c>
      <c r="I1939" s="1100">
        <v>1.0118919182071686</v>
      </c>
      <c r="K1939">
        <v>1.3437290189565176</v>
      </c>
      <c r="L1939">
        <v>0</v>
      </c>
      <c r="M1939">
        <v>6.0732717049588993E-4</v>
      </c>
      <c r="N1939">
        <v>5.3260943683932478E-2</v>
      </c>
      <c r="O1939">
        <v>7.7508370162796348E-3</v>
      </c>
      <c r="P1939">
        <v>1.6465335156355742E-2</v>
      </c>
      <c r="Q1939">
        <v>4.4171687784584526E-4</v>
      </c>
      <c r="R1939">
        <v>6.0549690381878356E-4</v>
      </c>
      <c r="S1939">
        <v>6.0497540383804109E-2</v>
      </c>
      <c r="T1939">
        <v>1.0632836091676949</v>
      </c>
      <c r="U1939">
        <v>0</v>
      </c>
      <c r="V1939">
        <v>9.7650688342490924E-2</v>
      </c>
      <c r="W1939">
        <v>3.5317991569120868E-2</v>
      </c>
      <c r="X1939">
        <v>7.4142240554747069E-3</v>
      </c>
      <c r="Y1939">
        <v>1.6479629701940288E-3</v>
      </c>
    </row>
    <row r="1940" spans="1:25" x14ac:dyDescent="0.25">
      <c r="A1940" s="1096"/>
      <c r="B1940" s="1455">
        <v>1690</v>
      </c>
      <c r="C1940" s="1100">
        <v>0.97447792205456507</v>
      </c>
      <c r="D1940" s="1100">
        <v>1.0193815566038977</v>
      </c>
      <c r="E1940" s="1100">
        <v>1.0090424971823226</v>
      </c>
      <c r="F1940" s="1100">
        <v>1.0144767705864508</v>
      </c>
      <c r="G1940" s="1100">
        <v>0.97932420045003099</v>
      </c>
      <c r="H1940" s="1100">
        <v>0.99973667523368914</v>
      </c>
      <c r="I1940" s="1100">
        <v>1.0049440905505835</v>
      </c>
      <c r="K1940">
        <v>1.3344001002418004</v>
      </c>
      <c r="L1940">
        <v>0</v>
      </c>
      <c r="M1940">
        <v>6.0050509347615584E-4</v>
      </c>
      <c r="N1940">
        <v>5.6747523907437279E-2</v>
      </c>
      <c r="O1940">
        <v>7.9065707294879578E-3</v>
      </c>
      <c r="P1940">
        <v>1.6564137822245879E-2</v>
      </c>
      <c r="Q1940">
        <v>4.6194066466616806E-4</v>
      </c>
      <c r="R1940">
        <v>5.9873263981709789E-4</v>
      </c>
      <c r="S1940">
        <v>6.1825404226525903E-2</v>
      </c>
      <c r="T1940">
        <v>1.0470524957553022</v>
      </c>
      <c r="U1940">
        <v>0</v>
      </c>
      <c r="V1940">
        <v>9.7378285339463133E-2</v>
      </c>
      <c r="W1940">
        <v>3.7080159805893964E-2</v>
      </c>
      <c r="X1940">
        <v>7.7558015710154542E-3</v>
      </c>
      <c r="Y1940">
        <v>1.6295528734204695E-3</v>
      </c>
    </row>
    <row r="1941" spans="1:25" x14ac:dyDescent="0.25">
      <c r="A1941" s="1096"/>
      <c r="B1941" s="1455">
        <v>1691</v>
      </c>
      <c r="C1941" s="1100">
        <v>1.0113917739421443</v>
      </c>
      <c r="D1941" s="1100">
        <v>1.036437831533803</v>
      </c>
      <c r="E1941" s="1100">
        <v>1.0140790609888735</v>
      </c>
      <c r="F1941" s="1100">
        <v>0.9906301042807768</v>
      </c>
      <c r="G1941" s="1100">
        <v>0.99683233606811217</v>
      </c>
      <c r="H1941" s="1100">
        <v>0.99666319572694595</v>
      </c>
      <c r="I1941" s="1100">
        <v>1.0103191547224273</v>
      </c>
      <c r="K1941">
        <v>1.3021245804399659</v>
      </c>
      <c r="L1941">
        <v>0</v>
      </c>
      <c r="M1941">
        <v>5.6702755918413119E-4</v>
      </c>
      <c r="N1941">
        <v>5.4404306449329837E-2</v>
      </c>
      <c r="O1941">
        <v>7.5688069357062442E-3</v>
      </c>
      <c r="P1941">
        <v>1.6248339201074956E-2</v>
      </c>
      <c r="Q1941">
        <v>4.4443693342369526E-4</v>
      </c>
      <c r="R1941">
        <v>5.6534875684916485E-4</v>
      </c>
      <c r="S1941">
        <v>5.9270046236298515E-2</v>
      </c>
      <c r="T1941">
        <v>1.0222932990335591</v>
      </c>
      <c r="U1941">
        <v>0</v>
      </c>
      <c r="V1941">
        <v>9.7302590210342585E-2</v>
      </c>
      <c r="W1941">
        <v>3.5443753998364434E-2</v>
      </c>
      <c r="X1941">
        <v>7.6119872952236664E-3</v>
      </c>
      <c r="Y1941">
        <v>1.5386929489758191E-3</v>
      </c>
    </row>
    <row r="1942" spans="1:25" x14ac:dyDescent="0.25">
      <c r="A1942" s="1096"/>
      <c r="B1942" s="1455">
        <v>1692</v>
      </c>
      <c r="C1942" s="1100">
        <v>0.98688891728525374</v>
      </c>
      <c r="D1942" s="1100">
        <v>1.0116735079058563</v>
      </c>
      <c r="E1942" s="1100">
        <v>1.0225973750612578</v>
      </c>
      <c r="F1942" s="1100">
        <v>0.97819987550101006</v>
      </c>
      <c r="G1942" s="1100">
        <v>0.98086273897327714</v>
      </c>
      <c r="H1942" s="1100">
        <v>0.96877450620748884</v>
      </c>
      <c r="I1942" s="1100">
        <v>1.0023980683676605</v>
      </c>
      <c r="K1942">
        <v>1.2912095870031777</v>
      </c>
      <c r="L1942">
        <v>0</v>
      </c>
      <c r="M1942">
        <v>5.6031901061416546E-4</v>
      </c>
      <c r="N1942">
        <v>5.5155542843382824E-2</v>
      </c>
      <c r="O1942">
        <v>7.8342419770367072E-3</v>
      </c>
      <c r="P1942">
        <v>1.6179711593599672E-2</v>
      </c>
      <c r="Q1942">
        <v>4.6393897702291142E-4</v>
      </c>
      <c r="R1942">
        <v>5.5861231342081859E-4</v>
      </c>
      <c r="S1942">
        <v>6.0198630157850729E-2</v>
      </c>
      <c r="T1942">
        <v>1.009222286132152</v>
      </c>
      <c r="U1942">
        <v>0</v>
      </c>
      <c r="V1942">
        <v>9.7148052516772748E-2</v>
      </c>
      <c r="W1942">
        <v>3.5754308630385812E-2</v>
      </c>
      <c r="X1942">
        <v>7.7342223015343199E-3</v>
      </c>
      <c r="Y1942">
        <v>1.5203585706318398E-3</v>
      </c>
    </row>
    <row r="1943" spans="1:25" x14ac:dyDescent="0.25">
      <c r="A1943" s="1096"/>
      <c r="B1943" s="1455">
        <v>1693</v>
      </c>
      <c r="C1943" s="1100">
        <v>0.98669515885158643</v>
      </c>
      <c r="D1943" s="1100">
        <v>0.98888096488208377</v>
      </c>
      <c r="E1943" s="1100">
        <v>1.0175757327815058</v>
      </c>
      <c r="F1943" s="1100">
        <v>0.97952894150603387</v>
      </c>
      <c r="G1943" s="1100">
        <v>0.99292306214935244</v>
      </c>
      <c r="H1943" s="1100">
        <v>0.97762110231494181</v>
      </c>
      <c r="I1943" s="1100">
        <v>1.0271812469181252</v>
      </c>
      <c r="K1943">
        <v>1.2973050530131447</v>
      </c>
      <c r="L1943">
        <v>0</v>
      </c>
      <c r="M1943">
        <v>5.7671966314272168E-4</v>
      </c>
      <c r="N1943">
        <v>5.5917969810433614E-2</v>
      </c>
      <c r="O1943">
        <v>7.9062703660531339E-3</v>
      </c>
      <c r="P1943">
        <v>1.6184378195746186E-2</v>
      </c>
      <c r="Q1943">
        <v>4.6587300132262127E-4</v>
      </c>
      <c r="R1943">
        <v>5.7497890670571991E-4</v>
      </c>
      <c r="S1943">
        <v>6.2738363852394924E-2</v>
      </c>
      <c r="T1943">
        <v>1.0107369766356782</v>
      </c>
      <c r="U1943">
        <v>0</v>
      </c>
      <c r="V1943">
        <v>9.7730850626671847E-2</v>
      </c>
      <c r="W1943">
        <v>3.6355193157910901E-2</v>
      </c>
      <c r="X1943">
        <v>7.7060150810643211E-3</v>
      </c>
      <c r="Y1943">
        <v>1.5649030423073149E-3</v>
      </c>
    </row>
    <row r="1944" spans="1:25" x14ac:dyDescent="0.25">
      <c r="A1944" s="1096"/>
      <c r="B1944" s="1455">
        <v>1694</v>
      </c>
      <c r="C1944" s="1100">
        <v>0.978974798720191</v>
      </c>
      <c r="D1944" s="1100">
        <v>1.0117513704335723</v>
      </c>
      <c r="E1944" s="1100">
        <v>1.0019688500503072</v>
      </c>
      <c r="F1944" s="1100">
        <v>0.96296748244636443</v>
      </c>
      <c r="G1944" s="1100">
        <v>0.97436573858819697</v>
      </c>
      <c r="H1944" s="1100">
        <v>1.0154136775275737</v>
      </c>
      <c r="I1944" s="1100">
        <v>1.0308542905676699</v>
      </c>
      <c r="K1944">
        <v>1.2828668323712129</v>
      </c>
      <c r="L1944">
        <v>0</v>
      </c>
      <c r="M1944">
        <v>6.1795599232116459E-4</v>
      </c>
      <c r="N1944">
        <v>5.7164980151922437E-2</v>
      </c>
      <c r="O1944">
        <v>7.8921734142307198E-3</v>
      </c>
      <c r="P1944">
        <v>1.5777040317263822E-2</v>
      </c>
      <c r="Q1944">
        <v>4.5784247715927035E-4</v>
      </c>
      <c r="R1944">
        <v>6.1616019070825901E-4</v>
      </c>
      <c r="S1944">
        <v>6.3877309976193536E-2</v>
      </c>
      <c r="T1944">
        <v>0.99409083405670984</v>
      </c>
      <c r="U1944">
        <v>0</v>
      </c>
      <c r="V1944">
        <v>9.7013645176794436E-2</v>
      </c>
      <c r="W1944">
        <v>3.7509621492393674E-2</v>
      </c>
      <c r="X1944">
        <v>7.4081961882017907E-3</v>
      </c>
      <c r="Y1944">
        <v>1.6769849219556026E-3</v>
      </c>
    </row>
    <row r="1945" spans="1:25" x14ac:dyDescent="0.25">
      <c r="A1945" s="1096"/>
      <c r="B1945" s="1455">
        <v>1695</v>
      </c>
      <c r="C1945" s="1100">
        <v>0.96615445258387811</v>
      </c>
      <c r="D1945" s="1100">
        <v>1.0212728830137519</v>
      </c>
      <c r="E1945" s="1100">
        <v>1.0235910525040188</v>
      </c>
      <c r="F1945" s="1100">
        <v>0.97422386465717281</v>
      </c>
      <c r="G1945" s="1100">
        <v>0.98592100391728399</v>
      </c>
      <c r="H1945" s="1100">
        <v>1.0333444460005701</v>
      </c>
      <c r="I1945" s="1100">
        <v>0.96812638086983127</v>
      </c>
      <c r="K1945">
        <v>1.2969006601410651</v>
      </c>
      <c r="L1945">
        <v>0</v>
      </c>
      <c r="M1945">
        <v>6.0693276477874253E-4</v>
      </c>
      <c r="N1945">
        <v>5.9934775950764574E-2</v>
      </c>
      <c r="O1945">
        <v>7.9724501127534046E-3</v>
      </c>
      <c r="P1945">
        <v>1.6156839732951477E-2</v>
      </c>
      <c r="Q1945">
        <v>4.725894051682962E-4</v>
      </c>
      <c r="R1945">
        <v>6.0519960224603847E-4</v>
      </c>
      <c r="S1945">
        <v>6.1048010497620611E-2</v>
      </c>
      <c r="T1945">
        <v>1.0050920302783553</v>
      </c>
      <c r="U1945">
        <v>0</v>
      </c>
      <c r="V1945">
        <v>9.7933044743251263E-2</v>
      </c>
      <c r="W1945">
        <v>3.8829897308916006E-2</v>
      </c>
      <c r="X1945">
        <v>7.8156014604970885E-3</v>
      </c>
      <c r="Y1945">
        <v>1.6471538133184544E-3</v>
      </c>
    </row>
    <row r="1946" spans="1:25" x14ac:dyDescent="0.25">
      <c r="A1946" s="1096"/>
      <c r="B1946" s="1455">
        <v>1696</v>
      </c>
      <c r="C1946" s="1100">
        <v>1.0085800687726492</v>
      </c>
      <c r="D1946" s="1100">
        <v>1.0313912482839984</v>
      </c>
      <c r="E1946" s="1100">
        <v>0.96238158502520887</v>
      </c>
      <c r="F1946" s="1100">
        <v>1.000465565364534</v>
      </c>
      <c r="G1946" s="1100">
        <v>0.98007919277486688</v>
      </c>
      <c r="H1946" s="1100">
        <v>0.98837819173127839</v>
      </c>
      <c r="I1946" s="1100">
        <v>0.97380401216364221</v>
      </c>
      <c r="K1946">
        <v>1.3063020494974638</v>
      </c>
      <c r="L1946">
        <v>0</v>
      </c>
      <c r="M1946">
        <v>6.2881268786596891E-4</v>
      </c>
      <c r="N1946">
        <v>5.1599882425224168E-2</v>
      </c>
      <c r="O1946">
        <v>7.5923362653617325E-3</v>
      </c>
      <c r="P1946">
        <v>1.5743492619830719E-2</v>
      </c>
      <c r="Q1946">
        <v>4.230980827138347E-4</v>
      </c>
      <c r="R1946">
        <v>6.2693535207397741E-4</v>
      </c>
      <c r="S1946">
        <v>5.7148224439689435E-2</v>
      </c>
      <c r="T1946">
        <v>1.0340008427415808</v>
      </c>
      <c r="U1946">
        <v>0</v>
      </c>
      <c r="V1946">
        <v>9.65034687387053E-2</v>
      </c>
      <c r="W1946">
        <v>3.4675700189686319E-2</v>
      </c>
      <c r="X1946">
        <v>6.9105699713008784E-3</v>
      </c>
      <c r="Y1946">
        <v>1.7063113591620986E-3</v>
      </c>
    </row>
    <row r="1947" spans="1:25" x14ac:dyDescent="0.25">
      <c r="A1947" s="1096"/>
      <c r="B1947" s="1455">
        <v>1697</v>
      </c>
      <c r="C1947" s="1100">
        <v>0.99196032878195772</v>
      </c>
      <c r="D1947" s="1100">
        <v>0.98293399535757964</v>
      </c>
      <c r="E1947" s="1100">
        <v>0.96643960683449981</v>
      </c>
      <c r="F1947" s="1100">
        <v>1.0354586470472065</v>
      </c>
      <c r="G1947" s="1100">
        <v>0.97535692672508201</v>
      </c>
      <c r="H1947" s="1100">
        <v>1.0075959510986752</v>
      </c>
      <c r="I1947" s="1100">
        <v>0.98823568265022033</v>
      </c>
      <c r="K1947">
        <v>1.352901157184319</v>
      </c>
      <c r="L1947">
        <v>0</v>
      </c>
      <c r="M1947">
        <v>6.5890865658984905E-4</v>
      </c>
      <c r="N1947">
        <v>5.4741400787902711E-2</v>
      </c>
      <c r="O1947">
        <v>7.8705778695080889E-3</v>
      </c>
      <c r="P1947">
        <v>1.6327066793195098E-2</v>
      </c>
      <c r="Q1947">
        <v>4.404322953788526E-4</v>
      </c>
      <c r="R1947">
        <v>6.5697898848766153E-4</v>
      </c>
      <c r="S1947">
        <v>6.1102594577522706E-2</v>
      </c>
      <c r="T1947">
        <v>1.0700373323840886</v>
      </c>
      <c r="U1947">
        <v>0</v>
      </c>
      <c r="V1947">
        <v>9.6690962136741831E-2</v>
      </c>
      <c r="W1947">
        <v>3.6695686558958593E-2</v>
      </c>
      <c r="X1947">
        <v>7.208953215525284E-3</v>
      </c>
      <c r="Y1947">
        <v>1.788080233598065E-3</v>
      </c>
    </row>
    <row r="1948" spans="1:25" x14ac:dyDescent="0.25">
      <c r="A1948" s="1096"/>
      <c r="B1948" s="1455">
        <v>1698</v>
      </c>
      <c r="C1948" s="1100">
        <v>0.99316299937138697</v>
      </c>
      <c r="D1948" s="1100">
        <v>0.98237354544603517</v>
      </c>
      <c r="E1948" s="1100">
        <v>0.99619236871367667</v>
      </c>
      <c r="F1948" s="1100">
        <v>0.97713638556687199</v>
      </c>
      <c r="G1948" s="1100">
        <v>1.0256153531719279</v>
      </c>
      <c r="H1948" s="1100">
        <v>1.0145835662916172</v>
      </c>
      <c r="I1948" s="1100">
        <v>0.98829371014443457</v>
      </c>
      <c r="K1948">
        <v>1.2965692950096503</v>
      </c>
      <c r="L1948">
        <v>0</v>
      </c>
      <c r="M1948">
        <v>6.2326861152934481E-4</v>
      </c>
      <c r="N1948">
        <v>5.6658740040369096E-2</v>
      </c>
      <c r="O1948">
        <v>7.8702246237262498E-3</v>
      </c>
      <c r="P1948">
        <v>1.5903922880875759E-2</v>
      </c>
      <c r="Q1948">
        <v>4.5392449460480338E-4</v>
      </c>
      <c r="R1948">
        <v>6.2145588934095855E-4</v>
      </c>
      <c r="S1948">
        <v>6.1293901530823071E-2</v>
      </c>
      <c r="T1948">
        <v>1.0088858407900705</v>
      </c>
      <c r="U1948">
        <v>0</v>
      </c>
      <c r="V1948">
        <v>9.9124806518765568E-2</v>
      </c>
      <c r="W1948">
        <v>3.7305395786631321E-2</v>
      </c>
      <c r="X1948">
        <v>7.3829529980646855E-3</v>
      </c>
      <c r="Y1948">
        <v>1.6913980679072258E-3</v>
      </c>
    </row>
    <row r="1949" spans="1:25" x14ac:dyDescent="0.25">
      <c r="A1949" s="1096"/>
      <c r="B1949" s="1455">
        <v>1699</v>
      </c>
      <c r="C1949" s="1100">
        <v>0.97690397805653861</v>
      </c>
      <c r="D1949" s="1100">
        <v>0.97057223652976321</v>
      </c>
      <c r="E1949" s="1100">
        <v>0.99431156230135131</v>
      </c>
      <c r="F1949" s="1100">
        <v>0.9906223770519933</v>
      </c>
      <c r="G1949" s="1100">
        <v>1.0077602299708583</v>
      </c>
      <c r="H1949" s="1100">
        <v>1.0039159189664406</v>
      </c>
      <c r="I1949" s="1100">
        <v>0.99658058367578028</v>
      </c>
      <c r="K1949">
        <v>1.3130643559325788</v>
      </c>
      <c r="L1949">
        <v>0</v>
      </c>
      <c r="M1949">
        <v>6.3247889021695225E-4</v>
      </c>
      <c r="N1949">
        <v>5.7168338285997274E-2</v>
      </c>
      <c r="O1949">
        <v>8.0395081888576664E-3</v>
      </c>
      <c r="P1949">
        <v>1.6087183164861629E-2</v>
      </c>
      <c r="Q1949">
        <v>4.6281002387787014E-4</v>
      </c>
      <c r="R1949">
        <v>6.306198340442948E-4</v>
      </c>
      <c r="S1949">
        <v>6.2906772370761602E-2</v>
      </c>
      <c r="T1949">
        <v>1.0228657449798779</v>
      </c>
      <c r="U1949">
        <v>0</v>
      </c>
      <c r="V1949">
        <v>9.8674222090580202E-2</v>
      </c>
      <c r="W1949">
        <v>3.7683185448645171E-2</v>
      </c>
      <c r="X1949">
        <v>7.4621111307950714E-3</v>
      </c>
      <c r="Y1949">
        <v>1.7163393044961478E-3</v>
      </c>
    </row>
    <row r="1950" spans="1:25" x14ac:dyDescent="0.25">
      <c r="A1950" s="1096"/>
      <c r="B1950" s="1455">
        <v>1700</v>
      </c>
      <c r="C1950" s="1100">
        <v>0.98796195067602088</v>
      </c>
      <c r="D1950" s="1100">
        <v>1.0178948565853523</v>
      </c>
      <c r="E1950" s="1100">
        <v>0.98334528106551267</v>
      </c>
      <c r="F1950" s="1100">
        <v>0.95964083390213628</v>
      </c>
      <c r="G1950" s="1100">
        <v>1.0213226465189624</v>
      </c>
      <c r="H1950" s="1100">
        <v>0.96583984129948275</v>
      </c>
      <c r="I1950" s="1100">
        <v>0.98581559645538241</v>
      </c>
      <c r="K1950">
        <v>1.2692982122475591</v>
      </c>
      <c r="L1950">
        <v>0</v>
      </c>
      <c r="M1950">
        <v>6.0388920862240009E-4</v>
      </c>
      <c r="N1950">
        <v>5.2797782577894831E-2</v>
      </c>
      <c r="O1950">
        <v>7.7968775565598657E-3</v>
      </c>
      <c r="P1950">
        <v>1.5477907597929627E-2</v>
      </c>
      <c r="Q1950">
        <v>4.4389165370970228E-4</v>
      </c>
      <c r="R1950">
        <v>6.0204421031951E-4</v>
      </c>
      <c r="S1950">
        <v>5.8817633043338265E-2</v>
      </c>
      <c r="T1950">
        <v>0.99119254406905599</v>
      </c>
      <c r="U1950">
        <v>0</v>
      </c>
      <c r="V1950">
        <v>9.9034076324837642E-2</v>
      </c>
      <c r="W1950">
        <v>3.5031881528128181E-2</v>
      </c>
      <c r="X1950">
        <v>7.068897017737409E-3</v>
      </c>
      <c r="Y1950">
        <v>1.638565876669113E-3</v>
      </c>
    </row>
    <row r="1951" spans="1:25" x14ac:dyDescent="0.25">
      <c r="A1951" s="1096"/>
      <c r="B1951" s="1455">
        <v>1701</v>
      </c>
      <c r="C1951" s="1100">
        <v>1.0084243208904511</v>
      </c>
      <c r="D1951" s="1100">
        <v>1.0155383067779082</v>
      </c>
      <c r="E1951" s="1100">
        <v>1.0134134655635201</v>
      </c>
      <c r="F1951" s="1100">
        <v>1.0246533440053411</v>
      </c>
      <c r="G1951" s="1100">
        <v>1.0026138805171627</v>
      </c>
      <c r="H1951" s="1100">
        <v>0.97871727489858218</v>
      </c>
      <c r="I1951" s="1100">
        <v>0.97600025302099436</v>
      </c>
      <c r="K1951">
        <v>1.335883925669866</v>
      </c>
      <c r="L1951">
        <v>0</v>
      </c>
      <c r="M1951">
        <v>5.6380478946327676E-4</v>
      </c>
      <c r="N1951">
        <v>5.3983592059144138E-2</v>
      </c>
      <c r="O1951">
        <v>7.6530254013934375E-3</v>
      </c>
      <c r="P1951">
        <v>1.6705129411516525E-2</v>
      </c>
      <c r="Q1951">
        <v>4.4908392143296879E-4</v>
      </c>
      <c r="R1951">
        <v>5.6210492096662719E-4</v>
      </c>
      <c r="S1951">
        <v>5.752762808651718E-2</v>
      </c>
      <c r="T1951">
        <v>1.0574240338940784</v>
      </c>
      <c r="U1951">
        <v>0</v>
      </c>
      <c r="V1951">
        <v>9.7653687026958105E-2</v>
      </c>
      <c r="W1951">
        <v>3.5183429229036285E-2</v>
      </c>
      <c r="X1951">
        <v>7.7761522112515325E-3</v>
      </c>
      <c r="Y1951">
        <v>1.5298642970337627E-3</v>
      </c>
    </row>
    <row r="1952" spans="1:25" x14ac:dyDescent="0.25">
      <c r="A1952" s="1096"/>
      <c r="B1952" s="1455">
        <v>1702</v>
      </c>
      <c r="C1952" s="1100">
        <v>0.96349075965490383</v>
      </c>
      <c r="D1952" s="1100">
        <v>0.98247504754188386</v>
      </c>
      <c r="E1952" s="1100">
        <v>1.0220229619468664</v>
      </c>
      <c r="F1952" s="1100">
        <v>1.0042856143634573</v>
      </c>
      <c r="G1952" s="1100">
        <v>1.0088736714468061</v>
      </c>
      <c r="H1952" s="1100">
        <v>1.0255943428292358</v>
      </c>
      <c r="I1952" s="1100">
        <v>1.003258969066166</v>
      </c>
      <c r="K1952">
        <v>1.3343954701952696</v>
      </c>
      <c r="L1952">
        <v>0</v>
      </c>
      <c r="M1952">
        <v>6.1548257466321674E-4</v>
      </c>
      <c r="N1952">
        <v>6.0490979928138781E-2</v>
      </c>
      <c r="O1952">
        <v>8.1189025413498494E-3</v>
      </c>
      <c r="P1952">
        <v>1.6633342435133078E-2</v>
      </c>
      <c r="Q1952">
        <v>4.8052226854291896E-4</v>
      </c>
      <c r="R1952">
        <v>6.1371171574244661E-4</v>
      </c>
      <c r="S1952">
        <v>6.451417953547367E-2</v>
      </c>
      <c r="T1952">
        <v>1.0361520907815231</v>
      </c>
      <c r="U1952">
        <v>0</v>
      </c>
      <c r="V1952">
        <v>9.9112747083734742E-2</v>
      </c>
      <c r="W1952">
        <v>3.9226135702429971E-2</v>
      </c>
      <c r="X1952">
        <v>7.9980197976253341E-3</v>
      </c>
      <c r="Y1952">
        <v>1.6703209802382169E-3</v>
      </c>
    </row>
    <row r="1953" spans="1:25" x14ac:dyDescent="0.25">
      <c r="A1953" s="1096"/>
      <c r="B1953" s="1455">
        <v>1703</v>
      </c>
      <c r="C1953" s="1100">
        <v>1.0227107826044712</v>
      </c>
      <c r="D1953" s="1100">
        <v>1.0168736248151748</v>
      </c>
      <c r="E1953" s="1100">
        <v>1.0178294027871804</v>
      </c>
      <c r="F1953" s="1100">
        <v>0.98314430998187297</v>
      </c>
      <c r="G1953" s="1100">
        <v>0.96061198108625223</v>
      </c>
      <c r="H1953" s="1100">
        <v>0.96252259426725562</v>
      </c>
      <c r="I1953" s="1100">
        <v>1.0019874531767083</v>
      </c>
      <c r="K1953">
        <v>1.2873244170164029</v>
      </c>
      <c r="L1953">
        <v>0</v>
      </c>
      <c r="M1953">
        <v>5.4144825545010523E-4</v>
      </c>
      <c r="N1953">
        <v>5.2535803296438456E-2</v>
      </c>
      <c r="O1953">
        <v>7.5432088004787502E-3</v>
      </c>
      <c r="P1953">
        <v>1.6135554776893789E-2</v>
      </c>
      <c r="Q1953">
        <v>4.4459202830362664E-4</v>
      </c>
      <c r="R1953">
        <v>5.3978832518202316E-4</v>
      </c>
      <c r="S1953">
        <v>5.7716013627012591E-2</v>
      </c>
      <c r="T1953">
        <v>1.0144602396078204</v>
      </c>
      <c r="U1953">
        <v>0</v>
      </c>
      <c r="V1953">
        <v>9.5283067756716369E-2</v>
      </c>
      <c r="W1953">
        <v>3.4151192096915105E-2</v>
      </c>
      <c r="X1953">
        <v>7.5872790761192747E-3</v>
      </c>
      <c r="Y1953">
        <v>1.4691258799718937E-3</v>
      </c>
    </row>
    <row r="1954" spans="1:25" x14ac:dyDescent="0.25">
      <c r="A1954" s="1096"/>
      <c r="B1954" s="1455">
        <v>1704</v>
      </c>
      <c r="C1954" s="1100">
        <v>0.98222146502045371</v>
      </c>
      <c r="D1954" s="1100">
        <v>1.0045478109810857</v>
      </c>
      <c r="E1954" s="1100">
        <v>1.0045417330978101</v>
      </c>
      <c r="F1954" s="1100">
        <v>0.95449870919737267</v>
      </c>
      <c r="G1954" s="1100">
        <v>0.99301374558174504</v>
      </c>
      <c r="H1954" s="1100">
        <v>0.96588907315028727</v>
      </c>
      <c r="I1954" s="1100">
        <v>0.97993983536038598</v>
      </c>
      <c r="K1954">
        <v>1.2654596557677862</v>
      </c>
      <c r="L1954">
        <v>0</v>
      </c>
      <c r="M1954">
        <v>5.8442149887190267E-4</v>
      </c>
      <c r="N1954">
        <v>5.4476456924708365E-2</v>
      </c>
      <c r="O1954">
        <v>7.889243104020234E-3</v>
      </c>
      <c r="P1954">
        <v>1.56345087971426E-2</v>
      </c>
      <c r="Q1954">
        <v>4.5885551668681105E-4</v>
      </c>
      <c r="R1954">
        <v>5.8263606919554381E-4</v>
      </c>
      <c r="S1954">
        <v>5.9249904863405971E-2</v>
      </c>
      <c r="T1954">
        <v>0.98527548850765123</v>
      </c>
      <c r="U1954">
        <v>0</v>
      </c>
      <c r="V1954">
        <v>9.7834996716211681E-2</v>
      </c>
      <c r="W1954">
        <v>3.5691028879493714E-2</v>
      </c>
      <c r="X1954">
        <v>7.3652145737183967E-3</v>
      </c>
      <c r="Y1954">
        <v>1.5857433144216789E-3</v>
      </c>
    </row>
    <row r="1955" spans="1:25" x14ac:dyDescent="0.25">
      <c r="A1955" s="1096"/>
      <c r="B1955" s="1455">
        <v>1705</v>
      </c>
      <c r="C1955" s="1100">
        <v>1.0360036390399903</v>
      </c>
      <c r="D1955" s="1100">
        <v>1.0148921951231358</v>
      </c>
      <c r="E1955" s="1100">
        <v>1.0214166098303696</v>
      </c>
      <c r="F1955" s="1100">
        <v>0.99424874192917434</v>
      </c>
      <c r="G1955" s="1100">
        <v>0.99375327225794607</v>
      </c>
      <c r="H1955" s="1100">
        <v>1.0082994514669203</v>
      </c>
      <c r="I1955" s="1100">
        <v>0.98651254515639397</v>
      </c>
      <c r="K1955">
        <v>1.30328182014564</v>
      </c>
      <c r="L1955">
        <v>0</v>
      </c>
      <c r="M1955">
        <v>5.5619188726355423E-4</v>
      </c>
      <c r="N1955">
        <v>5.4561171546081623E-2</v>
      </c>
      <c r="O1955">
        <v>7.453081973729893E-3</v>
      </c>
      <c r="P1955">
        <v>1.635009211953254E-2</v>
      </c>
      <c r="Q1955">
        <v>4.4084969308183947E-4</v>
      </c>
      <c r="R1955">
        <v>5.5456417012122007E-4</v>
      </c>
      <c r="S1955">
        <v>5.7481371570934005E-2</v>
      </c>
      <c r="T1955">
        <v>1.0258142988951808</v>
      </c>
      <c r="U1955">
        <v>0</v>
      </c>
      <c r="V1955">
        <v>9.6579492790682037E-2</v>
      </c>
      <c r="W1955">
        <v>3.5393413542573193E-2</v>
      </c>
      <c r="X1955">
        <v>7.7003348719461781E-3</v>
      </c>
      <c r="Y1955">
        <v>1.5093408590404124E-3</v>
      </c>
    </row>
    <row r="1956" spans="1:25" x14ac:dyDescent="0.25">
      <c r="A1956" s="1096"/>
      <c r="B1956" s="1455">
        <v>1706</v>
      </c>
      <c r="C1956" s="1100">
        <v>1.021087311061037</v>
      </c>
      <c r="D1956" s="1100">
        <v>0.99578592625924722</v>
      </c>
      <c r="E1956" s="1100">
        <v>0.97060878498955983</v>
      </c>
      <c r="F1956" s="1100">
        <v>0.9944803907038986</v>
      </c>
      <c r="G1956" s="1100">
        <v>1.0062430721021245</v>
      </c>
      <c r="H1956" s="1100">
        <v>1.0166983521041764</v>
      </c>
      <c r="I1956" s="1100">
        <v>1.0258620725661769</v>
      </c>
      <c r="K1956">
        <v>1.3085709874266802</v>
      </c>
      <c r="L1956">
        <v>0</v>
      </c>
      <c r="M1956">
        <v>6.3704273321328879E-4</v>
      </c>
      <c r="N1956">
        <v>5.3598634142425071E-2</v>
      </c>
      <c r="O1956">
        <v>7.6074379502149786E-3</v>
      </c>
      <c r="P1956">
        <v>1.5828312988177381E-2</v>
      </c>
      <c r="Q1956">
        <v>4.275265644679398E-4</v>
      </c>
      <c r="R1956">
        <v>6.3519380408362741E-4</v>
      </c>
      <c r="S1956">
        <v>6.1475707632702367E-2</v>
      </c>
      <c r="T1956">
        <v>1.0275633082008806</v>
      </c>
      <c r="U1956">
        <v>0</v>
      </c>
      <c r="V1956">
        <v>9.7477088617319699E-2</v>
      </c>
      <c r="W1956">
        <v>3.5838474740220526E-2</v>
      </c>
      <c r="X1956">
        <v>7.0275573762657254E-3</v>
      </c>
      <c r="Y1956">
        <v>1.7287881431343928E-3</v>
      </c>
    </row>
    <row r="1957" spans="1:25" x14ac:dyDescent="0.25">
      <c r="A1957" s="1096"/>
      <c r="B1957" s="1455">
        <v>1707</v>
      </c>
      <c r="C1957" s="1100">
        <v>1.0131645588273486</v>
      </c>
      <c r="D1957" s="1100">
        <v>1.0244186065674818</v>
      </c>
      <c r="E1957" s="1100">
        <v>0.97770016069488364</v>
      </c>
      <c r="F1957" s="1100">
        <v>0.98178247045305878</v>
      </c>
      <c r="G1957" s="1100">
        <v>0.99746410418450715</v>
      </c>
      <c r="H1957" s="1100">
        <v>0.9721091618119817</v>
      </c>
      <c r="I1957" s="1100">
        <v>0.98536375686535926</v>
      </c>
      <c r="K1957">
        <v>1.2867712723916636</v>
      </c>
      <c r="L1957">
        <v>0</v>
      </c>
      <c r="M1957">
        <v>5.9811886380212436E-4</v>
      </c>
      <c r="N1957">
        <v>5.1408737556775518E-2</v>
      </c>
      <c r="O1957">
        <v>7.5821747375457499E-3</v>
      </c>
      <c r="P1957">
        <v>1.5676514145708784E-2</v>
      </c>
      <c r="Q1957">
        <v>4.2919922662314013E-4</v>
      </c>
      <c r="R1957">
        <v>5.963032800741187E-4</v>
      </c>
      <c r="S1957">
        <v>5.7310644409976588E-2</v>
      </c>
      <c r="T1957">
        <v>1.0142303602604008</v>
      </c>
      <c r="U1957">
        <v>0</v>
      </c>
      <c r="V1957">
        <v>9.7249963287692212E-2</v>
      </c>
      <c r="W1957">
        <v>3.4226655840748167E-2</v>
      </c>
      <c r="X1957">
        <v>7.0358975528817761E-3</v>
      </c>
      <c r="Y1957">
        <v>1.6229409570383043E-3</v>
      </c>
    </row>
    <row r="1958" spans="1:25" x14ac:dyDescent="0.25">
      <c r="A1958" s="1096"/>
      <c r="B1958" s="1455">
        <v>1708</v>
      </c>
      <c r="C1958" s="1100">
        <v>1.0058035955238718</v>
      </c>
      <c r="D1958" s="1100">
        <v>0.9621905075839986</v>
      </c>
      <c r="E1958" s="1100">
        <v>0.99511057720167262</v>
      </c>
      <c r="F1958" s="1100">
        <v>0.97924806904057948</v>
      </c>
      <c r="G1958" s="1100">
        <v>1.001511974642564</v>
      </c>
      <c r="H1958" s="1100">
        <v>0.98580105678533225</v>
      </c>
      <c r="I1958" s="1100">
        <v>0.99611014036452783</v>
      </c>
      <c r="K1958">
        <v>1.2935365013502518</v>
      </c>
      <c r="L1958">
        <v>0</v>
      </c>
      <c r="M1958">
        <v>6.0431611927952401E-4</v>
      </c>
      <c r="N1958">
        <v>5.4751872684185826E-2</v>
      </c>
      <c r="O1958">
        <v>7.8358454489881619E-3</v>
      </c>
      <c r="P1958">
        <v>1.5894253127629196E-2</v>
      </c>
      <c r="Q1958">
        <v>4.5144927983006752E-4</v>
      </c>
      <c r="R1958">
        <v>6.0250720195743034E-4</v>
      </c>
      <c r="S1958">
        <v>6.0800093197723074E-2</v>
      </c>
      <c r="T1958">
        <v>1.0110978065889475</v>
      </c>
      <c r="U1958">
        <v>0</v>
      </c>
      <c r="V1958">
        <v>9.7643998888065076E-2</v>
      </c>
      <c r="W1958">
        <v>3.6073136986164232E-2</v>
      </c>
      <c r="X1958">
        <v>7.3500280787578524E-3</v>
      </c>
      <c r="Y1958">
        <v>1.6398259872823795E-3</v>
      </c>
    </row>
    <row r="1959" spans="1:25" x14ac:dyDescent="0.25">
      <c r="A1959" s="1096"/>
      <c r="B1959" s="1455">
        <v>1709</v>
      </c>
      <c r="C1959" s="1100">
        <v>0.99938934508006017</v>
      </c>
      <c r="D1959" s="1100">
        <v>1.0206293305190237</v>
      </c>
      <c r="E1959" s="1100">
        <v>1.020306551440334</v>
      </c>
      <c r="F1959" s="1100">
        <v>0.97781380358072378</v>
      </c>
      <c r="G1959" s="1100">
        <v>0.98252491993405744</v>
      </c>
      <c r="H1959" s="1100">
        <v>0.99800740486728134</v>
      </c>
      <c r="I1959" s="1100">
        <v>0.99933202407075961</v>
      </c>
      <c r="K1959">
        <v>1.2912135575655439</v>
      </c>
      <c r="L1959">
        <v>0</v>
      </c>
      <c r="M1959">
        <v>5.7071514474935764E-4</v>
      </c>
      <c r="N1959">
        <v>5.5797020994315258E-2</v>
      </c>
      <c r="O1959">
        <v>7.7084653791123338E-3</v>
      </c>
      <c r="P1959">
        <v>1.6140123379713683E-2</v>
      </c>
      <c r="Q1959">
        <v>4.5545296029010033E-4</v>
      </c>
      <c r="R1959">
        <v>5.690277004270543E-4</v>
      </c>
      <c r="S1959">
        <v>5.9866887612775165E-2</v>
      </c>
      <c r="T1959">
        <v>1.0088892170272008</v>
      </c>
      <c r="U1959">
        <v>0</v>
      </c>
      <c r="V1959">
        <v>9.6911691245318718E-2</v>
      </c>
      <c r="W1959">
        <v>3.6218597965808765E-2</v>
      </c>
      <c r="X1959">
        <v>7.6790826246997427E-3</v>
      </c>
      <c r="Y1959">
        <v>1.5487058206314097E-3</v>
      </c>
    </row>
    <row r="1960" spans="1:25" x14ac:dyDescent="0.25">
      <c r="A1960" s="1096"/>
      <c r="B1960" s="1455">
        <v>1710</v>
      </c>
      <c r="C1960" s="1100">
        <v>0.97438319300289</v>
      </c>
      <c r="D1960" s="1100">
        <v>0.98727698483055337</v>
      </c>
      <c r="E1960" s="1100">
        <v>0.97687557771081746</v>
      </c>
      <c r="F1960" s="1100">
        <v>1.0056716796366585</v>
      </c>
      <c r="G1960" s="1100">
        <v>1.0244366856225935</v>
      </c>
      <c r="H1960" s="1100">
        <v>0.98552273333654217</v>
      </c>
      <c r="I1960" s="1100">
        <v>0.99325406443972231</v>
      </c>
      <c r="K1960">
        <v>1.3252582000736612</v>
      </c>
      <c r="L1960">
        <v>0</v>
      </c>
      <c r="M1960">
        <v>6.409805781653475E-4</v>
      </c>
      <c r="N1960">
        <v>5.4957702155159487E-2</v>
      </c>
      <c r="O1960">
        <v>8.001070184804714E-3</v>
      </c>
      <c r="P1960">
        <v>1.6087095111393543E-2</v>
      </c>
      <c r="Q1960">
        <v>4.5253136735346394E-4</v>
      </c>
      <c r="R1960">
        <v>6.39061370179192E-4</v>
      </c>
      <c r="S1960">
        <v>6.1693206966696494E-2</v>
      </c>
      <c r="T1960">
        <v>1.0389343533359594</v>
      </c>
      <c r="U1960">
        <v>0</v>
      </c>
      <c r="V1960">
        <v>9.9526911876583204E-2</v>
      </c>
      <c r="W1960">
        <v>3.660772975340814E-2</v>
      </c>
      <c r="X1960">
        <v>7.2602041471858843E-3</v>
      </c>
      <c r="Y1960">
        <v>1.7393143831036992E-3</v>
      </c>
    </row>
    <row r="1961" spans="1:25" x14ac:dyDescent="0.25">
      <c r="A1961" s="1096"/>
      <c r="B1961" s="1455">
        <v>1711</v>
      </c>
      <c r="C1961" s="1100">
        <v>1.0066604107580501</v>
      </c>
      <c r="D1961" s="1100">
        <v>0.97479004903283095</v>
      </c>
      <c r="E1961" s="1100">
        <v>1.0016944636522596</v>
      </c>
      <c r="F1961" s="1100">
        <v>1.0375447488692242</v>
      </c>
      <c r="G1961" s="1100">
        <v>1.0387985775884259</v>
      </c>
      <c r="H1961" s="1100">
        <v>0.98356465103782897</v>
      </c>
      <c r="I1961" s="1100">
        <v>0.96614210021435776</v>
      </c>
      <c r="K1961">
        <v>1.3538100971000546</v>
      </c>
      <c r="L1961">
        <v>0</v>
      </c>
      <c r="M1961">
        <v>5.9117806713182509E-4</v>
      </c>
      <c r="N1961">
        <v>5.4637379360012214E-2</v>
      </c>
      <c r="O1961">
        <v>7.7901614488674045E-3</v>
      </c>
      <c r="P1961">
        <v>1.678419113837849E-2</v>
      </c>
      <c r="Q1961">
        <v>4.5180003612104184E-4</v>
      </c>
      <c r="R1961">
        <v>5.8940445267680768E-4</v>
      </c>
      <c r="S1961">
        <v>5.8449565258819253E-2</v>
      </c>
      <c r="T1961">
        <v>1.0710869147516597</v>
      </c>
      <c r="U1961">
        <v>0</v>
      </c>
      <c r="V1961">
        <v>9.9434185783558338E-2</v>
      </c>
      <c r="W1961">
        <v>3.5856938620755993E-2</v>
      </c>
      <c r="X1961">
        <v>7.7165696932764037E-3</v>
      </c>
      <c r="Y1961">
        <v>1.6041646230606646E-3</v>
      </c>
    </row>
    <row r="1962" spans="1:25" x14ac:dyDescent="0.25">
      <c r="A1962" s="1096"/>
      <c r="B1962" s="1455">
        <v>1712</v>
      </c>
      <c r="C1962" s="1100">
        <v>1.0099030169768379</v>
      </c>
      <c r="D1962" s="1100">
        <v>1.0285914577594668</v>
      </c>
      <c r="E1962" s="1100">
        <v>0.9976902679574623</v>
      </c>
      <c r="F1962" s="1100">
        <v>0.98957632111470095</v>
      </c>
      <c r="G1962" s="1100">
        <v>0.98073155705493698</v>
      </c>
      <c r="H1962" s="1100">
        <v>0.97261470793714333</v>
      </c>
      <c r="I1962" s="1100">
        <v>0.99900949523591687</v>
      </c>
      <c r="K1962">
        <v>1.2964526449235367</v>
      </c>
      <c r="L1962">
        <v>0</v>
      </c>
      <c r="M1962">
        <v>5.7508742271910088E-4</v>
      </c>
      <c r="N1962">
        <v>5.2509355896791912E-2</v>
      </c>
      <c r="O1962">
        <v>7.5990981356036822E-3</v>
      </c>
      <c r="P1962">
        <v>1.6018671281581201E-2</v>
      </c>
      <c r="Q1962">
        <v>4.3894848159712306E-4</v>
      </c>
      <c r="R1962">
        <v>5.7334265806248126E-4</v>
      </c>
      <c r="S1962">
        <v>5.8198542773902441E-2</v>
      </c>
      <c r="T1962">
        <v>1.0216857235243717</v>
      </c>
      <c r="U1962">
        <v>0</v>
      </c>
      <c r="V1962">
        <v>9.6541577232337542E-2</v>
      </c>
      <c r="W1962">
        <v>3.4542507161056717E-2</v>
      </c>
      <c r="X1962">
        <v>7.3595154880619741E-3</v>
      </c>
      <c r="Y1962">
        <v>1.560449712889639E-3</v>
      </c>
    </row>
    <row r="1963" spans="1:25" x14ac:dyDescent="0.25">
      <c r="A1963" s="1096"/>
      <c r="B1963" s="1455">
        <v>1713</v>
      </c>
      <c r="C1963" s="1100">
        <v>1.0061502466686927</v>
      </c>
      <c r="D1963" s="1100">
        <v>1.0085406155113845</v>
      </c>
      <c r="E1963" s="1100">
        <v>1.0107379731167421</v>
      </c>
      <c r="F1963" s="1100">
        <v>1.0393421367404359</v>
      </c>
      <c r="G1963" s="1100">
        <v>0.99712784074265726</v>
      </c>
      <c r="H1963" s="1100">
        <v>1.0146159334141069</v>
      </c>
      <c r="I1963" s="1100">
        <v>1.0047992206481022</v>
      </c>
      <c r="K1963">
        <v>1.3580255709462572</v>
      </c>
      <c r="L1963">
        <v>0</v>
      </c>
      <c r="M1963">
        <v>5.9070350952067558E-4</v>
      </c>
      <c r="N1963">
        <v>5.6110177193279064E-2</v>
      </c>
      <c r="O1963">
        <v>7.69091467841057E-3</v>
      </c>
      <c r="P1963">
        <v>1.6921979346746364E-2</v>
      </c>
      <c r="Q1963">
        <v>4.5010324342764987E-4</v>
      </c>
      <c r="R1963">
        <v>5.8898555488633196E-4</v>
      </c>
      <c r="S1963">
        <v>6.0668566825626678E-2</v>
      </c>
      <c r="T1963">
        <v>1.0726643774107478</v>
      </c>
      <c r="U1963">
        <v>0</v>
      </c>
      <c r="V1963">
        <v>9.7440832633711685E-2</v>
      </c>
      <c r="W1963">
        <v>3.6627062001077688E-2</v>
      </c>
      <c r="X1963">
        <v>7.8502510465000494E-3</v>
      </c>
      <c r="Y1963">
        <v>1.603024521364609E-3</v>
      </c>
    </row>
    <row r="1964" spans="1:25" x14ac:dyDescent="0.25">
      <c r="A1964" s="1096"/>
      <c r="B1964" s="1455">
        <v>1714</v>
      </c>
      <c r="C1964" s="1100">
        <v>1.0254049309721083</v>
      </c>
      <c r="D1964" s="1100">
        <v>0.98390022417739254</v>
      </c>
      <c r="E1964" s="1100">
        <v>1.0083759675685573</v>
      </c>
      <c r="F1964" s="1100">
        <v>0.97763330731247711</v>
      </c>
      <c r="G1964" s="1100">
        <v>0.98581805021219182</v>
      </c>
      <c r="H1964" s="1100">
        <v>0.99218179253019823</v>
      </c>
      <c r="I1964" s="1100">
        <v>1.0030741984191724</v>
      </c>
      <c r="K1964">
        <v>1.2878173130459349</v>
      </c>
      <c r="L1964">
        <v>0</v>
      </c>
      <c r="M1964">
        <v>5.7524714028177391E-4</v>
      </c>
      <c r="N1964">
        <v>5.4250145486910963E-2</v>
      </c>
      <c r="O1964">
        <v>7.6209635302782455E-3</v>
      </c>
      <c r="P1964">
        <v>1.5989960349257943E-2</v>
      </c>
      <c r="Q1964">
        <v>4.4495731007047375E-4</v>
      </c>
      <c r="R1964">
        <v>5.7353630958656399E-4</v>
      </c>
      <c r="S1964">
        <v>5.954261331838126E-2</v>
      </c>
      <c r="T1964">
        <v>1.0090451837471641</v>
      </c>
      <c r="U1964">
        <v>0</v>
      </c>
      <c r="V1964">
        <v>9.6428449891802978E-2</v>
      </c>
      <c r="W1964">
        <v>3.5462263723385616E-2</v>
      </c>
      <c r="X1964">
        <v>7.4735097508751881E-3</v>
      </c>
      <c r="Y1964">
        <v>1.5609767685009844E-3</v>
      </c>
    </row>
    <row r="1965" spans="1:25" x14ac:dyDescent="0.25">
      <c r="A1965" s="1096"/>
      <c r="B1965" s="1455">
        <v>1715</v>
      </c>
      <c r="C1965" s="1100">
        <v>1.0215251884152541</v>
      </c>
      <c r="D1965" s="1100">
        <v>1.0374980279490655</v>
      </c>
      <c r="E1965" s="1100">
        <v>1.0119424071909031</v>
      </c>
      <c r="F1965" s="1100">
        <v>0.97000893622398676</v>
      </c>
      <c r="G1965" s="1100">
        <v>0.99206833188745269</v>
      </c>
      <c r="H1965" s="1100">
        <v>0.98772284301483693</v>
      </c>
      <c r="I1965" s="1100">
        <v>1.018527312030757</v>
      </c>
      <c r="K1965">
        <v>1.2775560790146505</v>
      </c>
      <c r="L1965">
        <v>0</v>
      </c>
      <c r="M1965">
        <v>5.586145610863095E-4</v>
      </c>
      <c r="N1965">
        <v>5.3251134992891476E-2</v>
      </c>
      <c r="O1965">
        <v>7.4901542643538571E-3</v>
      </c>
      <c r="P1965">
        <v>1.5918519931497174E-2</v>
      </c>
      <c r="Q1965">
        <v>4.3888164187053666E-4</v>
      </c>
      <c r="R1965">
        <v>5.5694569698552159E-4</v>
      </c>
      <c r="S1965">
        <v>5.8856157013559049E-2</v>
      </c>
      <c r="T1965">
        <v>1.0010739115362828</v>
      </c>
      <c r="U1965">
        <v>0</v>
      </c>
      <c r="V1965">
        <v>9.6826598115463042E-2</v>
      </c>
      <c r="W1965">
        <v>3.4736110719737777E-2</v>
      </c>
      <c r="X1965">
        <v>7.4504570730008022E-3</v>
      </c>
      <c r="Y1965">
        <v>1.5158225900949213E-3</v>
      </c>
    </row>
    <row r="1966" spans="1:25" x14ac:dyDescent="0.25">
      <c r="A1966" s="1096"/>
      <c r="B1966" s="1455">
        <v>1716</v>
      </c>
      <c r="C1966" s="1100">
        <v>0.96560485282996289</v>
      </c>
      <c r="D1966" s="1100">
        <v>1.024980839843562</v>
      </c>
      <c r="E1966" s="1100">
        <v>1.0061247144274494</v>
      </c>
      <c r="F1966" s="1100">
        <v>0.98187256128277678</v>
      </c>
      <c r="G1966" s="1100">
        <v>1.0455175164945509</v>
      </c>
      <c r="H1966" s="1100">
        <v>1.0296353645400014</v>
      </c>
      <c r="I1966" s="1100">
        <v>0.97997416721455444</v>
      </c>
      <c r="K1966">
        <v>1.3068219115760749</v>
      </c>
      <c r="L1966">
        <v>0</v>
      </c>
      <c r="M1966">
        <v>6.2656637957645149E-4</v>
      </c>
      <c r="N1966">
        <v>5.869597986845098E-2</v>
      </c>
      <c r="O1966">
        <v>7.9610256278380438E-3</v>
      </c>
      <c r="P1966">
        <v>1.6112148173147309E-2</v>
      </c>
      <c r="Q1966">
        <v>4.6376572219168524E-4</v>
      </c>
      <c r="R1966">
        <v>6.2477070573810085E-4</v>
      </c>
      <c r="S1966">
        <v>6.1579624049181755E-2</v>
      </c>
      <c r="T1966">
        <v>1.0134859642167873</v>
      </c>
      <c r="U1966">
        <v>0</v>
      </c>
      <c r="V1966">
        <v>0.10081108511396573</v>
      </c>
      <c r="W1966">
        <v>3.8419498030342489E-2</v>
      </c>
      <c r="X1966">
        <v>7.5941965425951816E-3</v>
      </c>
      <c r="Y1966">
        <v>1.7004199054113163E-3</v>
      </c>
    </row>
    <row r="1967" spans="1:25" x14ac:dyDescent="0.25">
      <c r="A1967" s="1096"/>
      <c r="B1967" s="1455">
        <v>1717</v>
      </c>
      <c r="C1967" s="1100">
        <v>0.98894487843047452</v>
      </c>
      <c r="D1967" s="1100">
        <v>0.99550592716227282</v>
      </c>
      <c r="E1967" s="1100">
        <v>1.0085512651753583</v>
      </c>
      <c r="F1967" s="1100">
        <v>0.9995728356250605</v>
      </c>
      <c r="G1967" s="1100">
        <v>1.0314812869643137</v>
      </c>
      <c r="H1967" s="1100">
        <v>1.032394471225224</v>
      </c>
      <c r="I1967" s="1100">
        <v>0.99892596789646781</v>
      </c>
      <c r="K1967">
        <v>1.3239877060139629</v>
      </c>
      <c r="L1967">
        <v>0</v>
      </c>
      <c r="M1967">
        <v>6.1749999745013895E-4</v>
      </c>
      <c r="N1967">
        <v>5.8272509417305336E-2</v>
      </c>
      <c r="O1967">
        <v>7.8649957658804264E-3</v>
      </c>
      <c r="P1967">
        <v>1.6383768010569025E-2</v>
      </c>
      <c r="Q1967">
        <v>4.5928591151064282E-4</v>
      </c>
      <c r="R1967">
        <v>6.1573503647014197E-4</v>
      </c>
      <c r="S1967">
        <v>6.2339285217532091E-2</v>
      </c>
      <c r="T1967">
        <v>1.0316844693497553</v>
      </c>
      <c r="U1967">
        <v>0</v>
      </c>
      <c r="V1967">
        <v>9.9528986203373304E-2</v>
      </c>
      <c r="W1967">
        <v>3.8087662649648107E-2</v>
      </c>
      <c r="X1967">
        <v>7.6926806570971062E-3</v>
      </c>
      <c r="Y1967">
        <v>1.6758277922715057E-3</v>
      </c>
    </row>
    <row r="1968" spans="1:25" x14ac:dyDescent="0.25">
      <c r="A1968" s="1096"/>
      <c r="B1968" s="1455">
        <v>1718</v>
      </c>
      <c r="C1968" s="1100">
        <v>1.0348759567238852</v>
      </c>
      <c r="D1968" s="1100">
        <v>0.99908389057903446</v>
      </c>
      <c r="E1968" s="1100">
        <v>0.99916055475398635</v>
      </c>
      <c r="F1968" s="1100">
        <v>1.0051761112443334</v>
      </c>
      <c r="G1968" s="1100">
        <v>1.0314921494185616</v>
      </c>
      <c r="H1968" s="1100">
        <v>0.9862685164769549</v>
      </c>
      <c r="I1968" s="1100">
        <v>0.99147986306985758</v>
      </c>
      <c r="K1968">
        <v>1.3142687618534163</v>
      </c>
      <c r="L1968">
        <v>0</v>
      </c>
      <c r="M1968">
        <v>5.7399982990991331E-4</v>
      </c>
      <c r="N1968">
        <v>5.2645622279820121E-2</v>
      </c>
      <c r="O1968">
        <v>7.502914516554186E-3</v>
      </c>
      <c r="P1968">
        <v>1.6273245827254142E-2</v>
      </c>
      <c r="Q1968">
        <v>4.3403414935147913E-4</v>
      </c>
      <c r="R1968">
        <v>5.7228247359175221E-4</v>
      </c>
      <c r="S1968">
        <v>5.765637095174591E-2</v>
      </c>
      <c r="T1968">
        <v>1.0377476307098978</v>
      </c>
      <c r="U1968">
        <v>0</v>
      </c>
      <c r="V1968">
        <v>9.8406655276331967E-2</v>
      </c>
      <c r="W1968">
        <v>3.4601860018017877E-2</v>
      </c>
      <c r="X1968">
        <v>7.4445812405095702E-3</v>
      </c>
      <c r="Y1968">
        <v>1.5575642402500312E-3</v>
      </c>
    </row>
    <row r="1969" spans="1:25" x14ac:dyDescent="0.25">
      <c r="A1969" s="1096"/>
      <c r="B1969" s="1455">
        <v>1719</v>
      </c>
      <c r="C1969" s="1100">
        <v>1.0205211513949399</v>
      </c>
      <c r="D1969" s="1100">
        <v>0.98151133811133173</v>
      </c>
      <c r="E1969" s="1100">
        <v>1.0149546722983971</v>
      </c>
      <c r="F1969" s="1100">
        <v>1.0285834002094982</v>
      </c>
      <c r="G1969" s="1100">
        <v>1.0155644589626849</v>
      </c>
      <c r="H1969" s="1100">
        <v>1.0233836099845788</v>
      </c>
      <c r="I1969" s="1100">
        <v>1.0005064829732686</v>
      </c>
      <c r="K1969">
        <v>1.348036324070411</v>
      </c>
      <c r="L1969">
        <v>0</v>
      </c>
      <c r="M1969">
        <v>5.8865416452299503E-4</v>
      </c>
      <c r="N1969">
        <v>5.6633143198105564E-2</v>
      </c>
      <c r="O1969">
        <v>7.6664808679061296E-3</v>
      </c>
      <c r="P1969">
        <v>1.6827821662705432E-2</v>
      </c>
      <c r="Q1969">
        <v>4.5056552740161678E-4</v>
      </c>
      <c r="R1969">
        <v>5.8695683727989897E-4</v>
      </c>
      <c r="S1969">
        <v>6.0700059522166998E-2</v>
      </c>
      <c r="T1969">
        <v>1.0614332652078255</v>
      </c>
      <c r="U1969">
        <v>0</v>
      </c>
      <c r="V1969">
        <v>9.7990601486054582E-2</v>
      </c>
      <c r="W1969">
        <v>3.6876836661897568E-2</v>
      </c>
      <c r="X1969">
        <v>7.8617442427838542E-3</v>
      </c>
      <c r="Y1969">
        <v>1.5975030208064775E-3</v>
      </c>
    </row>
    <row r="1970" spans="1:25" x14ac:dyDescent="0.25">
      <c r="A1970" s="1096"/>
      <c r="B1970" s="1455">
        <v>1720</v>
      </c>
      <c r="C1970" s="1100">
        <v>1.0140890578395445</v>
      </c>
      <c r="D1970" s="1100">
        <v>0.98791165702803985</v>
      </c>
      <c r="E1970" s="1100">
        <v>0.96122553538339783</v>
      </c>
      <c r="F1970" s="1100">
        <v>0.95226338008460343</v>
      </c>
      <c r="G1970" s="1100">
        <v>0.98134046523762453</v>
      </c>
      <c r="H1970" s="1100">
        <v>1.0040182659511669</v>
      </c>
      <c r="I1970" s="1100">
        <v>0.96010570541931928</v>
      </c>
      <c r="K1970">
        <v>1.2586876483051483</v>
      </c>
      <c r="L1970">
        <v>0</v>
      </c>
      <c r="M1970">
        <v>6.4787509686786596E-4</v>
      </c>
      <c r="N1970">
        <v>5.2980718465640453E-2</v>
      </c>
      <c r="O1970">
        <v>7.6820309947494845E-3</v>
      </c>
      <c r="P1970">
        <v>1.5077834957191037E-2</v>
      </c>
      <c r="Q1970">
        <v>4.2758865455105107E-4</v>
      </c>
      <c r="R1970">
        <v>6.4597098047835654E-4</v>
      </c>
      <c r="S1970">
        <v>5.7802143269581802E-2</v>
      </c>
      <c r="T1970">
        <v>0.98421696298631367</v>
      </c>
      <c r="U1970">
        <v>0</v>
      </c>
      <c r="V1970">
        <v>9.642980785128108E-2</v>
      </c>
      <c r="W1970">
        <v>3.5628861257756141E-2</v>
      </c>
      <c r="X1970">
        <v>6.6854839198873476E-3</v>
      </c>
      <c r="Y1970">
        <v>1.7581200645856016E-3</v>
      </c>
    </row>
    <row r="1971" spans="1:25" x14ac:dyDescent="0.25">
      <c r="A1971" s="1096"/>
      <c r="B1971" s="1455">
        <v>1721</v>
      </c>
      <c r="C1971" s="1100">
        <v>0.99840376078169335</v>
      </c>
      <c r="D1971" s="1100">
        <v>1.0141848222232832</v>
      </c>
      <c r="E1971" s="1100">
        <v>1.0183764053858448</v>
      </c>
      <c r="F1971" s="1100">
        <v>1.0068596691504024</v>
      </c>
      <c r="G1971" s="1100">
        <v>0.95620603164974693</v>
      </c>
      <c r="H1971" s="1100">
        <v>0.98753606031652996</v>
      </c>
      <c r="I1971" s="1100">
        <v>1.0121147964561947</v>
      </c>
      <c r="K1971">
        <v>1.3204454485530002</v>
      </c>
      <c r="L1971">
        <v>0</v>
      </c>
      <c r="M1971">
        <v>5.6899889727541762E-4</v>
      </c>
      <c r="N1971">
        <v>5.530449576298177E-2</v>
      </c>
      <c r="O1971">
        <v>7.7351766438898363E-3</v>
      </c>
      <c r="P1971">
        <v>1.6524905101561006E-2</v>
      </c>
      <c r="Q1971">
        <v>4.5615474172559919E-4</v>
      </c>
      <c r="R1971">
        <v>5.6729868839573011E-4</v>
      </c>
      <c r="S1971">
        <v>6.0574609647335326E-2</v>
      </c>
      <c r="T1971">
        <v>1.0389149031122082</v>
      </c>
      <c r="U1971">
        <v>0</v>
      </c>
      <c r="V1971">
        <v>9.5660636388517115E-2</v>
      </c>
      <c r="W1971">
        <v>3.5939475515882481E-2</v>
      </c>
      <c r="X1971">
        <v>7.7927918279259772E-3</v>
      </c>
      <c r="Y1971">
        <v>1.5440000198508076E-3</v>
      </c>
    </row>
    <row r="1972" spans="1:25" x14ac:dyDescent="0.25">
      <c r="A1972" s="1096"/>
      <c r="B1972" s="1455">
        <v>1722</v>
      </c>
      <c r="C1972" s="1100">
        <v>0.95844004155652096</v>
      </c>
      <c r="D1972" s="1100">
        <v>1.0050951861082793</v>
      </c>
      <c r="E1972" s="1100">
        <v>0.98352096193617</v>
      </c>
      <c r="F1972" s="1100">
        <v>0.99060343640655879</v>
      </c>
      <c r="G1972" s="1100">
        <v>1.0267335778652438</v>
      </c>
      <c r="H1972" s="1100">
        <v>0.99465566864589661</v>
      </c>
      <c r="I1972" s="1100">
        <v>1.0441859057932581</v>
      </c>
      <c r="K1972">
        <v>1.3162057948266617</v>
      </c>
      <c r="L1972">
        <v>0</v>
      </c>
      <c r="M1972">
        <v>6.4408119963960922E-4</v>
      </c>
      <c r="N1972">
        <v>5.6346686731528456E-2</v>
      </c>
      <c r="O1972">
        <v>8.0778667007511008E-3</v>
      </c>
      <c r="P1972">
        <v>1.6016268425452083E-2</v>
      </c>
      <c r="Q1972">
        <v>4.599708903915047E-4</v>
      </c>
      <c r="R1972">
        <v>6.4217041527543097E-4</v>
      </c>
      <c r="S1972">
        <v>6.5614830688922252E-2</v>
      </c>
      <c r="T1972">
        <v>1.0231678894926157</v>
      </c>
      <c r="U1972">
        <v>0</v>
      </c>
      <c r="V1972">
        <v>0.10006846865917238</v>
      </c>
      <c r="W1972">
        <v>3.7382661593677098E-2</v>
      </c>
      <c r="X1972">
        <v>7.3252862495555111E-3</v>
      </c>
      <c r="Y1972">
        <v>1.7477761789592211E-3</v>
      </c>
    </row>
    <row r="1973" spans="1:25" x14ac:dyDescent="0.25">
      <c r="A1973" s="1096"/>
      <c r="B1973" s="1455">
        <v>1723</v>
      </c>
      <c r="C1973" s="1100">
        <v>0.98393339553531223</v>
      </c>
      <c r="D1973" s="1100">
        <v>0.96331903176402722</v>
      </c>
      <c r="E1973" s="1100">
        <v>0.99608982518468447</v>
      </c>
      <c r="F1973" s="1100">
        <v>0.98455653980866376</v>
      </c>
      <c r="G1973" s="1100">
        <v>1.0225040876703</v>
      </c>
      <c r="H1973" s="1100">
        <v>0.97837721489126961</v>
      </c>
      <c r="I1973" s="1100">
        <v>0.96495865515096124</v>
      </c>
      <c r="K1973">
        <v>1.3014139047277278</v>
      </c>
      <c r="L1973">
        <v>0</v>
      </c>
      <c r="M1973">
        <v>6.1156626611343589E-4</v>
      </c>
      <c r="N1973">
        <v>5.5571703659825812E-2</v>
      </c>
      <c r="O1973">
        <v>8.0065082878256946E-3</v>
      </c>
      <c r="P1973">
        <v>1.5989712041752393E-2</v>
      </c>
      <c r="Q1973">
        <v>4.6173711813788824E-4</v>
      </c>
      <c r="R1973">
        <v>6.097217561302125E-4</v>
      </c>
      <c r="S1973">
        <v>5.9945154535325937E-2</v>
      </c>
      <c r="T1973">
        <v>1.0165501099599352</v>
      </c>
      <c r="U1973">
        <v>0</v>
      </c>
      <c r="V1973">
        <v>9.9208238627941842E-2</v>
      </c>
      <c r="W1973">
        <v>3.659190332865303E-2</v>
      </c>
      <c r="X1973">
        <v>7.4312200528479479E-3</v>
      </c>
      <c r="Y1973">
        <v>1.6594616254635487E-3</v>
      </c>
    </row>
    <row r="1974" spans="1:25" x14ac:dyDescent="0.25">
      <c r="A1974" s="1096"/>
      <c r="B1974" s="1455">
        <v>1724</v>
      </c>
      <c r="C1974" s="1100">
        <v>0.97149570407747465</v>
      </c>
      <c r="D1974" s="1100">
        <v>0.99981047630183562</v>
      </c>
      <c r="E1974" s="1100">
        <v>1.0089200768670166</v>
      </c>
      <c r="F1974" s="1100">
        <v>0.96252771272200432</v>
      </c>
      <c r="G1974" s="1100">
        <v>1.0043780473113348</v>
      </c>
      <c r="H1974" s="1100">
        <v>0.99905894584667543</v>
      </c>
      <c r="I1974" s="1100">
        <v>0.99154128470598679</v>
      </c>
      <c r="K1974">
        <v>1.2821634334114034</v>
      </c>
      <c r="L1974">
        <v>0</v>
      </c>
      <c r="M1974">
        <v>6.0678016453810939E-4</v>
      </c>
      <c r="N1974">
        <v>5.7319210887195521E-2</v>
      </c>
      <c r="O1974">
        <v>7.9925476132034247E-3</v>
      </c>
      <c r="P1974">
        <v>1.5843995940117251E-2</v>
      </c>
      <c r="Q1974">
        <v>4.6690668229888813E-4</v>
      </c>
      <c r="R1974">
        <v>6.0498797440994235E-4</v>
      </c>
      <c r="S1974">
        <v>6.1806055623102596E-2</v>
      </c>
      <c r="T1974">
        <v>0.99343878459736712</v>
      </c>
      <c r="U1974">
        <v>0</v>
      </c>
      <c r="V1974">
        <v>9.8668326664482719E-2</v>
      </c>
      <c r="W1974">
        <v>3.7456419444047442E-2</v>
      </c>
      <c r="X1974">
        <v>7.5264003176051201E-3</v>
      </c>
      <c r="Y1974">
        <v>1.6465778321116983E-3</v>
      </c>
    </row>
    <row r="1975" spans="1:25" x14ac:dyDescent="0.25">
      <c r="A1975" s="1096"/>
      <c r="B1975" s="1455">
        <v>1725</v>
      </c>
      <c r="C1975" s="1100">
        <v>1.0021981506903095</v>
      </c>
      <c r="D1975" s="1100">
        <v>0.99179886958990082</v>
      </c>
      <c r="E1975" s="1100">
        <v>1.0293212735471857</v>
      </c>
      <c r="F1975" s="1100">
        <v>1.0258549164798316</v>
      </c>
      <c r="G1975" s="1100">
        <v>1.024074395229851</v>
      </c>
      <c r="H1975" s="1100">
        <v>0.9795773313693602</v>
      </c>
      <c r="I1975" s="1100">
        <v>1.01969961452213</v>
      </c>
      <c r="K1975">
        <v>1.3448227741758028</v>
      </c>
      <c r="L1975">
        <v>0</v>
      </c>
      <c r="M1975">
        <v>5.5453821000105358E-4</v>
      </c>
      <c r="N1975">
        <v>5.5706456449744465E-2</v>
      </c>
      <c r="O1975">
        <v>7.7776966762501364E-3</v>
      </c>
      <c r="P1975">
        <v>1.6980820181459039E-2</v>
      </c>
      <c r="Q1975">
        <v>4.6366940052442807E-4</v>
      </c>
      <c r="R1975">
        <v>5.5286774812626522E-4</v>
      </c>
      <c r="S1975">
        <v>6.1293455481675592E-2</v>
      </c>
      <c r="T1975">
        <v>1.0581886505573994</v>
      </c>
      <c r="U1975">
        <v>0</v>
      </c>
      <c r="V1975">
        <v>9.8862696961495036E-2</v>
      </c>
      <c r="W1975">
        <v>3.5970319053740943E-2</v>
      </c>
      <c r="X1975">
        <v>8.075956117791331E-3</v>
      </c>
      <c r="Y1975">
        <v>1.5047237575955051E-3</v>
      </c>
    </row>
    <row r="1976" spans="1:25" x14ac:dyDescent="0.25">
      <c r="A1976" s="1096"/>
      <c r="B1976" s="1455">
        <v>1726</v>
      </c>
      <c r="C1976" s="1100">
        <v>1.0191895356684164</v>
      </c>
      <c r="D1976" s="1100">
        <v>0.99592642068596604</v>
      </c>
      <c r="E1976" s="1100">
        <v>0.99827539120554754</v>
      </c>
      <c r="F1976" s="1100">
        <v>0.99056422350077489</v>
      </c>
      <c r="G1976" s="1100">
        <v>0.97849823683435333</v>
      </c>
      <c r="H1976" s="1100">
        <v>1.0105366080923832</v>
      </c>
      <c r="I1976" s="1100">
        <v>1.0264427939414493</v>
      </c>
      <c r="K1976">
        <v>1.3043701263014309</v>
      </c>
      <c r="L1976">
        <v>0</v>
      </c>
      <c r="M1976">
        <v>5.9903074997628178E-4</v>
      </c>
      <c r="N1976">
        <v>5.4798589918239167E-2</v>
      </c>
      <c r="O1976">
        <v>7.6278310457920228E-3</v>
      </c>
      <c r="P1976">
        <v>1.6079249629658721E-2</v>
      </c>
      <c r="Q1976">
        <v>4.4086769870331131E-4</v>
      </c>
      <c r="R1976">
        <v>5.9728154427640733E-4</v>
      </c>
      <c r="S1976">
        <v>6.1458031750690596E-2</v>
      </c>
      <c r="T1976">
        <v>1.0226883942388041</v>
      </c>
      <c r="U1976">
        <v>0</v>
      </c>
      <c r="V1976">
        <v>9.6210590908654955E-2</v>
      </c>
      <c r="W1976">
        <v>3.6035891885027496E-2</v>
      </c>
      <c r="X1976">
        <v>7.4068249618489384E-3</v>
      </c>
      <c r="Y1976">
        <v>1.6256034697122268E-3</v>
      </c>
    </row>
    <row r="1977" spans="1:25" x14ac:dyDescent="0.25">
      <c r="A1977" s="1096"/>
      <c r="B1977" s="1455">
        <v>1727</v>
      </c>
      <c r="C1977" s="1100">
        <v>1.0235613975029085</v>
      </c>
      <c r="D1977" s="1100">
        <v>1.0171696859574209</v>
      </c>
      <c r="E1977" s="1100">
        <v>1.0346664036751148</v>
      </c>
      <c r="F1977" s="1100">
        <v>0.99147900169152947</v>
      </c>
      <c r="G1977" s="1100">
        <v>0.96464808314361306</v>
      </c>
      <c r="H1977" s="1100">
        <v>1.0199020282896631</v>
      </c>
      <c r="I1977" s="1100">
        <v>0.98073435169146284</v>
      </c>
      <c r="K1977">
        <v>1.302912720779414</v>
      </c>
      <c r="L1977">
        <v>0</v>
      </c>
      <c r="M1977">
        <v>5.5343210431635771E-4</v>
      </c>
      <c r="N1977">
        <v>5.650503814160724E-2</v>
      </c>
      <c r="O1977">
        <v>7.5400890162190303E-3</v>
      </c>
      <c r="P1977">
        <v>1.6456707137826009E-2</v>
      </c>
      <c r="Q1977">
        <v>4.5188353236142511E-4</v>
      </c>
      <c r="R1977">
        <v>5.5183088908870056E-4</v>
      </c>
      <c r="S1977">
        <v>5.8119711551918363E-2</v>
      </c>
      <c r="T1977">
        <v>1.0225765321715585</v>
      </c>
      <c r="U1977">
        <v>0</v>
      </c>
      <c r="V1977">
        <v>9.5476833944561482E-2</v>
      </c>
      <c r="W1977">
        <v>3.6373118756874892E-2</v>
      </c>
      <c r="X1977">
        <v>7.9125059726178615E-3</v>
      </c>
      <c r="Y1977">
        <v>1.5019017690957445E-3</v>
      </c>
    </row>
    <row r="1978" spans="1:25" x14ac:dyDescent="0.25">
      <c r="A1978" s="1096"/>
      <c r="B1978" s="1455">
        <v>1728</v>
      </c>
      <c r="C1978" s="1100">
        <v>0.99596237820166045</v>
      </c>
      <c r="D1978" s="1100">
        <v>1.0091431032732257</v>
      </c>
      <c r="E1978" s="1100">
        <v>0.96576660731966646</v>
      </c>
      <c r="F1978" s="1100">
        <v>1.0342935221163208</v>
      </c>
      <c r="G1978" s="1100">
        <v>0.99423614357251899</v>
      </c>
      <c r="H1978" s="1100">
        <v>1.0111258201352578</v>
      </c>
      <c r="I1978" s="1100">
        <v>1.0272090513453225</v>
      </c>
      <c r="K1978">
        <v>1.3527008225853616</v>
      </c>
      <c r="L1978">
        <v>0</v>
      </c>
      <c r="M1978">
        <v>6.5256988737278916E-4</v>
      </c>
      <c r="N1978">
        <v>5.4104941412469652E-2</v>
      </c>
      <c r="O1978">
        <v>7.7567077351504256E-3</v>
      </c>
      <c r="P1978">
        <v>1.6332028903244953E-2</v>
      </c>
      <c r="Q1978">
        <v>4.3376108007984527E-4</v>
      </c>
      <c r="R1978">
        <v>6.5066545459694183E-4</v>
      </c>
      <c r="S1978">
        <v>6.2481271990952852E-2</v>
      </c>
      <c r="T1978">
        <v>1.0688547239000379</v>
      </c>
      <c r="U1978">
        <v>0</v>
      </c>
      <c r="V1978">
        <v>9.7503002512874526E-2</v>
      </c>
      <c r="W1978">
        <v>3.6283943760454192E-2</v>
      </c>
      <c r="X1978">
        <v>7.1814488472704162E-3</v>
      </c>
      <c r="Y1978">
        <v>1.7708968756034128E-3</v>
      </c>
    </row>
    <row r="1979" spans="1:25" x14ac:dyDescent="0.25">
      <c r="A1979" s="1096"/>
      <c r="B1979" s="1455">
        <v>1729</v>
      </c>
      <c r="C1979" s="1100">
        <v>0.95847815068077269</v>
      </c>
      <c r="D1979" s="1100">
        <v>1.0127670652916172</v>
      </c>
      <c r="E1979" s="1100">
        <v>1.0192970362719278</v>
      </c>
      <c r="F1979" s="1100">
        <v>1.0142872081083509</v>
      </c>
      <c r="G1979" s="1100">
        <v>0.9785490519097596</v>
      </c>
      <c r="H1979" s="1100">
        <v>0.98083121050004496</v>
      </c>
      <c r="I1979" s="1100">
        <v>1.0233387775988805</v>
      </c>
      <c r="K1979">
        <v>1.3372657791562581</v>
      </c>
      <c r="L1979">
        <v>0</v>
      </c>
      <c r="M1979">
        <v>5.8787905786931191E-4</v>
      </c>
      <c r="N1979">
        <v>5.7297331010921264E-2</v>
      </c>
      <c r="O1979">
        <v>8.0621321988105458E-3</v>
      </c>
      <c r="P1979">
        <v>1.6713299540247327E-2</v>
      </c>
      <c r="Q1979">
        <v>4.7587140749773315E-4</v>
      </c>
      <c r="R1979">
        <v>5.8611042565534358E-4</v>
      </c>
      <c r="S1979">
        <v>6.3628917341615951E-2</v>
      </c>
      <c r="T1979">
        <v>1.0465516399222448</v>
      </c>
      <c r="U1979">
        <v>0</v>
      </c>
      <c r="V1979">
        <v>9.7776993058376657E-2</v>
      </c>
      <c r="W1979">
        <v>3.7214445937104164E-2</v>
      </c>
      <c r="X1979">
        <v>7.9517180042690226E-3</v>
      </c>
      <c r="Y1979">
        <v>1.5951993673839547E-3</v>
      </c>
    </row>
    <row r="1980" spans="1:25" x14ac:dyDescent="0.25">
      <c r="A1980" s="1096"/>
      <c r="B1980" s="1455">
        <v>1730</v>
      </c>
      <c r="C1980" s="1100">
        <v>1.0108400256548309</v>
      </c>
      <c r="D1980" s="1100">
        <v>0.99798948620512795</v>
      </c>
      <c r="E1980" s="1100">
        <v>1.0103269690587098</v>
      </c>
      <c r="F1980" s="1100">
        <v>1.0029454580734105</v>
      </c>
      <c r="G1980" s="1100">
        <v>0.97803673055256757</v>
      </c>
      <c r="H1980" s="1100">
        <v>1.0066920126369805</v>
      </c>
      <c r="I1980" s="1100">
        <v>1.0212054009701295</v>
      </c>
      <c r="K1980">
        <v>1.3187164906506319</v>
      </c>
      <c r="L1980">
        <v>0</v>
      </c>
      <c r="M1980">
        <v>5.8633083271327218E-4</v>
      </c>
      <c r="N1980">
        <v>5.5624483346743019E-2</v>
      </c>
      <c r="O1980">
        <v>7.6874042517611043E-3</v>
      </c>
      <c r="P1980">
        <v>1.6397539667546205E-2</v>
      </c>
      <c r="Q1980">
        <v>4.4971304837836693E-4</v>
      </c>
      <c r="R1980">
        <v>5.8461217287658846E-4</v>
      </c>
      <c r="S1980">
        <v>6.1474451670248766E-2</v>
      </c>
      <c r="T1980">
        <v>1.035112929035668</v>
      </c>
      <c r="U1980">
        <v>0</v>
      </c>
      <c r="V1980">
        <v>9.6402445645812879E-2</v>
      </c>
      <c r="W1980">
        <v>3.6318812885367112E-2</v>
      </c>
      <c r="X1980">
        <v>7.6593081417227421E-3</v>
      </c>
      <c r="Y1980">
        <v>1.5911216172190788E-3</v>
      </c>
    </row>
    <row r="1981" spans="1:25" x14ac:dyDescent="0.25">
      <c r="A1981" s="1096"/>
      <c r="B1981" s="1455">
        <v>1731</v>
      </c>
      <c r="C1981" s="1100">
        <v>0.99919719360388537</v>
      </c>
      <c r="D1981" s="1100">
        <v>1.0038944306449187</v>
      </c>
      <c r="E1981" s="1100">
        <v>1.0324215907155305</v>
      </c>
      <c r="F1981" s="1100">
        <v>0.98333533678154872</v>
      </c>
      <c r="G1981" s="1100">
        <v>0.98678440935668332</v>
      </c>
      <c r="H1981" s="1100">
        <v>0.99753613480722481</v>
      </c>
      <c r="I1981" s="1100">
        <v>0.99198225452774702</v>
      </c>
      <c r="K1981">
        <v>1.2987482663006986</v>
      </c>
      <c r="L1981">
        <v>0</v>
      </c>
      <c r="M1981">
        <v>5.6003082702564609E-4</v>
      </c>
      <c r="N1981">
        <v>5.6789537024907882E-2</v>
      </c>
      <c r="O1981">
        <v>7.7640863587519534E-3</v>
      </c>
      <c r="P1981">
        <v>1.6362517066602293E-2</v>
      </c>
      <c r="Q1981">
        <v>4.6427829763472567E-4</v>
      </c>
      <c r="R1981">
        <v>5.5837419094699502E-4</v>
      </c>
      <c r="S1981">
        <v>5.9964671178355709E-2</v>
      </c>
      <c r="T1981">
        <v>1.0142409516287694</v>
      </c>
      <c r="U1981">
        <v>0</v>
      </c>
      <c r="V1981">
        <v>9.7136162189343858E-2</v>
      </c>
      <c r="W1981">
        <v>3.660378846502757E-2</v>
      </c>
      <c r="X1981">
        <v>7.9042202476278054E-3</v>
      </c>
      <c r="Y1981">
        <v>1.5197104797551441E-3</v>
      </c>
    </row>
    <row r="1982" spans="1:25" x14ac:dyDescent="0.25">
      <c r="A1982" s="1096"/>
      <c r="B1982" s="1455">
        <v>1732</v>
      </c>
      <c r="C1982" s="1100">
        <v>1.0235508875595554</v>
      </c>
      <c r="D1982" s="1100">
        <v>1.0026895641046041</v>
      </c>
      <c r="E1982" s="1100">
        <v>1.0006355492970787</v>
      </c>
      <c r="F1982" s="1100">
        <v>1.0269713760761054</v>
      </c>
      <c r="G1982" s="1100">
        <v>0.99477560602998916</v>
      </c>
      <c r="H1982" s="1100">
        <v>1.0051975052807756</v>
      </c>
      <c r="I1982" s="1100">
        <v>1.0153075309143416</v>
      </c>
      <c r="K1982">
        <v>1.3409537169890378</v>
      </c>
      <c r="L1982">
        <v>0</v>
      </c>
      <c r="M1982">
        <v>5.8883321003795836E-4</v>
      </c>
      <c r="N1982">
        <v>5.4250367921781568E-2</v>
      </c>
      <c r="O1982">
        <v>7.5753603996657386E-3</v>
      </c>
      <c r="P1982">
        <v>1.6611082738039133E-2</v>
      </c>
      <c r="Q1982">
        <v>4.3887529831847987E-4</v>
      </c>
      <c r="R1982">
        <v>5.8710464902914019E-4</v>
      </c>
      <c r="S1982">
        <v>6.0153987736243399E-2</v>
      </c>
      <c r="T1982">
        <v>1.060204052728676</v>
      </c>
      <c r="U1982">
        <v>0</v>
      </c>
      <c r="V1982">
        <v>9.6897028796841395E-2</v>
      </c>
      <c r="W1982">
        <v>3.5625347702072457E-2</v>
      </c>
      <c r="X1982">
        <v>7.6014369127465611E-3</v>
      </c>
      <c r="Y1982">
        <v>1.5979053156617818E-3</v>
      </c>
    </row>
    <row r="1983" spans="1:25" x14ac:dyDescent="0.25">
      <c r="A1983" s="1096"/>
      <c r="B1983" s="1455">
        <v>1733</v>
      </c>
      <c r="C1983" s="1100">
        <v>0.99076783968498894</v>
      </c>
      <c r="D1983" s="1100">
        <v>0.97268041689470508</v>
      </c>
      <c r="E1983" s="1100">
        <v>1.0372833088799536</v>
      </c>
      <c r="F1983" s="1100">
        <v>0.95894777019238397</v>
      </c>
      <c r="G1983" s="1100">
        <v>0.96957961369565104</v>
      </c>
      <c r="H1983" s="1100">
        <v>1.0264231921556903</v>
      </c>
      <c r="I1983" s="1100">
        <v>1.0255355270598894</v>
      </c>
      <c r="K1983">
        <v>1.2825367024355727</v>
      </c>
      <c r="L1983">
        <v>0</v>
      </c>
      <c r="M1983">
        <v>5.8260380370560587E-4</v>
      </c>
      <c r="N1983">
        <v>5.9955458792174308E-2</v>
      </c>
      <c r="O1983">
        <v>7.9309253135182913E-3</v>
      </c>
      <c r="P1983">
        <v>1.612092224274761E-2</v>
      </c>
      <c r="Q1983">
        <v>4.7653399184809667E-4</v>
      </c>
      <c r="R1983">
        <v>5.8092889678263717E-4</v>
      </c>
      <c r="S1983">
        <v>6.4518365967312349E-2</v>
      </c>
      <c r="T1983">
        <v>0.98895294565426539</v>
      </c>
      <c r="U1983">
        <v>0</v>
      </c>
      <c r="V1983">
        <v>9.6520265817552825E-2</v>
      </c>
      <c r="W1983">
        <v>3.8535896550869211E-2</v>
      </c>
      <c r="X1983">
        <v>7.9459660583238688E-3</v>
      </c>
      <c r="Y1983">
        <v>1.5810969538829817E-3</v>
      </c>
    </row>
    <row r="1984" spans="1:25" x14ac:dyDescent="0.25">
      <c r="A1984" s="1096"/>
      <c r="B1984" s="1455">
        <v>1734</v>
      </c>
      <c r="C1984" s="1100">
        <v>0.97857552749819443</v>
      </c>
      <c r="D1984" s="1100">
        <v>0.97683811138035315</v>
      </c>
      <c r="E1984" s="1100">
        <v>1.003351239215112</v>
      </c>
      <c r="F1984" s="1100">
        <v>1.0237682438903879</v>
      </c>
      <c r="G1984" s="1100">
        <v>0.99139144848272753</v>
      </c>
      <c r="H1984" s="1100">
        <v>0.97541103457496903</v>
      </c>
      <c r="I1984" s="1100">
        <v>0.98667459383075973</v>
      </c>
      <c r="K1984">
        <v>1.3425493285722983</v>
      </c>
      <c r="L1984">
        <v>0</v>
      </c>
      <c r="M1984">
        <v>6.0052901445894092E-4</v>
      </c>
      <c r="N1984">
        <v>5.5778658592838849E-2</v>
      </c>
      <c r="O1984">
        <v>8.0074319473989412E-3</v>
      </c>
      <c r="P1984">
        <v>1.6624116271553281E-2</v>
      </c>
      <c r="Q1984">
        <v>4.6517386387913304E-4</v>
      </c>
      <c r="R1984">
        <v>5.9871228545753299E-4</v>
      </c>
      <c r="S1984">
        <v>6.1083782634841474E-2</v>
      </c>
      <c r="T1984">
        <v>1.0568146786315182</v>
      </c>
      <c r="U1984">
        <v>0</v>
      </c>
      <c r="V1984">
        <v>9.7849188288794547E-2</v>
      </c>
      <c r="W1984">
        <v>3.6569970953081808E-2</v>
      </c>
      <c r="X1984">
        <v>7.72864664182802E-3</v>
      </c>
      <c r="Y1984">
        <v>1.6294974755635468E-3</v>
      </c>
    </row>
    <row r="1985" spans="1:25" x14ac:dyDescent="0.25">
      <c r="A1985" s="1096"/>
      <c r="B1985" s="1455">
        <v>1735</v>
      </c>
      <c r="C1985" s="1100">
        <v>1.0086788516467871</v>
      </c>
      <c r="D1985" s="1100">
        <v>1.0158538523184744</v>
      </c>
      <c r="E1985" s="1100">
        <v>0.96754874223058029</v>
      </c>
      <c r="F1985" s="1100">
        <v>0.98867826887414234</v>
      </c>
      <c r="G1985" s="1100">
        <v>0.95896766284243684</v>
      </c>
      <c r="H1985" s="1100">
        <v>1.034088874780654</v>
      </c>
      <c r="I1985" s="1100">
        <v>1.0219686742415115</v>
      </c>
      <c r="K1985">
        <v>1.3026625411060007</v>
      </c>
      <c r="L1985">
        <v>0</v>
      </c>
      <c r="M1985">
        <v>6.5481912425949652E-4</v>
      </c>
      <c r="N1985">
        <v>5.4588801205948272E-2</v>
      </c>
      <c r="O1985">
        <v>7.6390688711812588E-3</v>
      </c>
      <c r="P1985">
        <v>1.5691364586265522E-2</v>
      </c>
      <c r="Q1985">
        <v>4.2796289269039615E-4</v>
      </c>
      <c r="R1985">
        <v>6.5295056314304295E-4</v>
      </c>
      <c r="S1985">
        <v>6.1868827700272466E-2</v>
      </c>
      <c r="T1985">
        <v>1.0216610208515065</v>
      </c>
      <c r="U1985">
        <v>0</v>
      </c>
      <c r="V1985">
        <v>9.5485602761198538E-2</v>
      </c>
      <c r="W1985">
        <v>3.6568638722193202E-2</v>
      </c>
      <c r="X1985">
        <v>6.9560058880807681E-3</v>
      </c>
      <c r="Y1985">
        <v>1.7771161877800715E-3</v>
      </c>
    </row>
    <row r="1986" spans="1:25" x14ac:dyDescent="0.25">
      <c r="A1986" s="1096"/>
      <c r="B1986" s="1455">
        <v>1736</v>
      </c>
      <c r="C1986" s="1100">
        <v>0.97472401597683833</v>
      </c>
      <c r="D1986" s="1100">
        <v>0.99290427512356527</v>
      </c>
      <c r="E1986" s="1100">
        <v>1.0451571246163613</v>
      </c>
      <c r="F1986" s="1100">
        <v>1.0009272239017271</v>
      </c>
      <c r="G1986" s="1100">
        <v>1.0105249472289763</v>
      </c>
      <c r="H1986" s="1100">
        <v>0.99053141353117202</v>
      </c>
      <c r="I1986" s="1100">
        <v>1.0057501534303446</v>
      </c>
      <c r="K1986">
        <v>1.3248564449284093</v>
      </c>
      <c r="L1986">
        <v>0</v>
      </c>
      <c r="M1986">
        <v>5.5756187783737238E-4</v>
      </c>
      <c r="N1986">
        <v>5.8749360179109957E-2</v>
      </c>
      <c r="O1986">
        <v>7.9973826490744322E-3</v>
      </c>
      <c r="P1986">
        <v>1.6824805885447793E-2</v>
      </c>
      <c r="Q1986">
        <v>4.842594171275079E-4</v>
      </c>
      <c r="R1986">
        <v>5.55900881643705E-4</v>
      </c>
      <c r="S1986">
        <v>6.2484055765625296E-2</v>
      </c>
      <c r="T1986">
        <v>1.0320209584239164</v>
      </c>
      <c r="U1986">
        <v>0</v>
      </c>
      <c r="V1986">
        <v>9.8922581952845867E-2</v>
      </c>
      <c r="W1986">
        <v>3.7589996436121646E-2</v>
      </c>
      <c r="X1986">
        <v>8.271726268174984E-3</v>
      </c>
      <c r="Y1986">
        <v>1.5129789471577814E-3</v>
      </c>
    </row>
    <row r="1987" spans="1:25" x14ac:dyDescent="0.25">
      <c r="A1987" s="1096"/>
      <c r="B1987" s="1455">
        <v>1737</v>
      </c>
      <c r="C1987" s="1100">
        <v>0.99183427545418756</v>
      </c>
      <c r="D1987" s="1100">
        <v>0.98522710404795166</v>
      </c>
      <c r="E1987" s="1100">
        <v>1.024001357617607</v>
      </c>
      <c r="F1987" s="1100">
        <v>0.99551028482807113</v>
      </c>
      <c r="G1987" s="1100">
        <v>0.96547309716565477</v>
      </c>
      <c r="H1987" s="1100">
        <v>1.0332158831398737</v>
      </c>
      <c r="I1987" s="1100">
        <v>1.0249792198109264</v>
      </c>
      <c r="K1987">
        <v>1.3194784778185971</v>
      </c>
      <c r="L1987">
        <v>0</v>
      </c>
      <c r="M1987">
        <v>5.9919089122635724E-4</v>
      </c>
      <c r="N1987">
        <v>5.9243508712832793E-2</v>
      </c>
      <c r="O1987">
        <v>7.8785643949874293E-3</v>
      </c>
      <c r="P1987">
        <v>1.6486875706135145E-2</v>
      </c>
      <c r="Q1987">
        <v>4.6721420664618256E-4</v>
      </c>
      <c r="R1987">
        <v>5.9747962354952467E-4</v>
      </c>
      <c r="S1987">
        <v>6.4175683125007779E-2</v>
      </c>
      <c r="T1987">
        <v>1.0270410387415501</v>
      </c>
      <c r="U1987">
        <v>0</v>
      </c>
      <c r="V1987">
        <v>9.6279750419046906E-2</v>
      </c>
      <c r="W1987">
        <v>3.8372861462451426E-2</v>
      </c>
      <c r="X1987">
        <v>7.9085497414188351E-3</v>
      </c>
      <c r="Y1987">
        <v>1.6261425761968369E-3</v>
      </c>
    </row>
    <row r="1988" spans="1:25" x14ac:dyDescent="0.25">
      <c r="A1988" s="1096"/>
      <c r="B1988" s="1455">
        <v>1738</v>
      </c>
      <c r="C1988" s="1100">
        <v>1.0107510620974733</v>
      </c>
      <c r="D1988" s="1100">
        <v>0.99026270348246048</v>
      </c>
      <c r="E1988" s="1100">
        <v>0.96773255053286766</v>
      </c>
      <c r="F1988" s="1100">
        <v>1.0182449901043267</v>
      </c>
      <c r="G1988" s="1100">
        <v>0.96394109901903735</v>
      </c>
      <c r="H1988" s="1100">
        <v>1.0305315875810632</v>
      </c>
      <c r="I1988" s="1100">
        <v>1.0024233954823929</v>
      </c>
      <c r="K1988">
        <v>1.3338881550134492</v>
      </c>
      <c r="L1988">
        <v>0</v>
      </c>
      <c r="M1988">
        <v>6.576594927738521E-4</v>
      </c>
      <c r="N1988">
        <v>5.4855572815570713E-2</v>
      </c>
      <c r="O1988">
        <v>7.7016534356829942E-3</v>
      </c>
      <c r="P1988">
        <v>1.6094902725971E-2</v>
      </c>
      <c r="Q1988">
        <v>4.3155023519416075E-4</v>
      </c>
      <c r="R1988">
        <v>6.5577634845959034E-4</v>
      </c>
      <c r="S1988">
        <v>6.1283951535388834E-2</v>
      </c>
      <c r="T1988">
        <v>1.0522083490261229</v>
      </c>
      <c r="U1988">
        <v>0</v>
      </c>
      <c r="V1988">
        <v>9.5676005130760425E-2</v>
      </c>
      <c r="W1988">
        <v>3.6743228597850335E-2</v>
      </c>
      <c r="X1988">
        <v>7.1100176113305822E-3</v>
      </c>
      <c r="Y1988">
        <v>1.7848070438918333E-3</v>
      </c>
    </row>
    <row r="1989" spans="1:25" x14ac:dyDescent="0.25">
      <c r="A1989" s="1096"/>
      <c r="B1989" s="1455">
        <v>1739</v>
      </c>
      <c r="C1989" s="1100">
        <v>1.0053129210033149</v>
      </c>
      <c r="D1989" s="1100">
        <v>1.0047035191288689</v>
      </c>
      <c r="E1989" s="1100">
        <v>1.0408804506193914</v>
      </c>
      <c r="F1989" s="1100">
        <v>0.98191188189220591</v>
      </c>
      <c r="G1989" s="1100">
        <v>0.98193275722658868</v>
      </c>
      <c r="H1989" s="1100">
        <v>0.99882342218157083</v>
      </c>
      <c r="I1989" s="1100">
        <v>1.0173384181559</v>
      </c>
      <c r="K1989">
        <v>1.2980388386645438</v>
      </c>
      <c r="L1989">
        <v>0</v>
      </c>
      <c r="M1989">
        <v>5.4741844352267132E-4</v>
      </c>
      <c r="N1989">
        <v>5.6943811061089908E-2</v>
      </c>
      <c r="O1989">
        <v>7.7164407907738333E-3</v>
      </c>
      <c r="P1989">
        <v>1.645011313365289E-2</v>
      </c>
      <c r="Q1989">
        <v>4.6529023697070422E-4</v>
      </c>
      <c r="R1989">
        <v>5.4580120333080798E-4</v>
      </c>
      <c r="S1989">
        <v>6.1145017969857017E-2</v>
      </c>
      <c r="T1989">
        <v>1.0125345527393337</v>
      </c>
      <c r="U1989">
        <v>0</v>
      </c>
      <c r="V1989">
        <v>9.6759945573547154E-2</v>
      </c>
      <c r="W1989">
        <v>3.6524381409755974E-2</v>
      </c>
      <c r="X1989">
        <v>8.0154120376058104E-3</v>
      </c>
      <c r="Y1989">
        <v>1.4854909521481365E-3</v>
      </c>
    </row>
    <row r="1990" spans="1:25" x14ac:dyDescent="0.25">
      <c r="A1990" s="1096"/>
      <c r="B1990" s="1455">
        <v>1740</v>
      </c>
      <c r="C1990" s="1100">
        <v>1.026144073095858</v>
      </c>
      <c r="D1990" s="1100">
        <v>1.001482790771844</v>
      </c>
      <c r="E1990" s="1100">
        <v>0.98267377629263264</v>
      </c>
      <c r="F1990" s="1100">
        <v>1.0359055032124527</v>
      </c>
      <c r="G1990" s="1100">
        <v>0.99965457366420996</v>
      </c>
      <c r="H1990" s="1100">
        <v>1.0048239519744435</v>
      </c>
      <c r="I1990" s="1100">
        <v>0.97663635489173606</v>
      </c>
      <c r="K1990">
        <v>1.3467762521238638</v>
      </c>
      <c r="L1990">
        <v>0</v>
      </c>
      <c r="M1990">
        <v>6.0967880886982279E-4</v>
      </c>
      <c r="N1990">
        <v>5.3202123451500646E-2</v>
      </c>
      <c r="O1990">
        <v>7.5555687334481593E-3</v>
      </c>
      <c r="P1990">
        <v>1.648937859223706E-2</v>
      </c>
      <c r="Q1990">
        <v>4.2986046956069578E-4</v>
      </c>
      <c r="R1990">
        <v>6.0788838879076348E-4</v>
      </c>
      <c r="S1990">
        <v>5.7726317333974916E-2</v>
      </c>
      <c r="T1990">
        <v>1.0699857520437779</v>
      </c>
      <c r="U1990">
        <v>0</v>
      </c>
      <c r="V1990">
        <v>9.7052079652127712E-2</v>
      </c>
      <c r="W1990">
        <v>3.5314447894720449E-2</v>
      </c>
      <c r="X1990">
        <v>7.3680425686597113E-3</v>
      </c>
      <c r="Y1990">
        <v>1.6544718039349492E-3</v>
      </c>
    </row>
    <row r="1991" spans="1:25" x14ac:dyDescent="0.25">
      <c r="A1991" s="1096"/>
      <c r="B1991" s="1455">
        <v>1741</v>
      </c>
      <c r="C1991" s="1100">
        <v>1.0340573298199152</v>
      </c>
      <c r="D1991" s="1100">
        <v>1.0113697032190434</v>
      </c>
      <c r="E1991" s="1100">
        <v>1.0081945798816978</v>
      </c>
      <c r="F1991" s="1100">
        <v>0.96391959028156227</v>
      </c>
      <c r="G1991" s="1100">
        <v>0.99083126650515119</v>
      </c>
      <c r="H1991" s="1100">
        <v>0.98888257748830111</v>
      </c>
      <c r="I1991" s="1100">
        <v>1.0069251385795597</v>
      </c>
      <c r="K1991">
        <v>1.2699222723137364</v>
      </c>
      <c r="L1991">
        <v>0</v>
      </c>
      <c r="M1991">
        <v>5.6252106020709665E-4</v>
      </c>
      <c r="N1991">
        <v>5.3020406101737097E-2</v>
      </c>
      <c r="O1991">
        <v>7.474370496183361E-3</v>
      </c>
      <c r="P1991">
        <v>1.5777188286517058E-2</v>
      </c>
      <c r="Q1991">
        <v>4.3631913786124077E-4</v>
      </c>
      <c r="R1991">
        <v>5.6084249630380251E-4</v>
      </c>
      <c r="S1991">
        <v>5.8303316854950778E-2</v>
      </c>
      <c r="T1991">
        <v>0.99489599882760005</v>
      </c>
      <c r="U1991">
        <v>0</v>
      </c>
      <c r="V1991">
        <v>9.6468528288393807E-2</v>
      </c>
      <c r="W1991">
        <v>3.4662119307408507E-2</v>
      </c>
      <c r="X1991">
        <v>7.3592751837281544E-3</v>
      </c>
      <c r="Y1991">
        <v>1.5264283932597317E-3</v>
      </c>
    </row>
    <row r="1992" spans="1:25" x14ac:dyDescent="0.25">
      <c r="A1992" s="1096"/>
      <c r="B1992" s="1455">
        <v>1742</v>
      </c>
      <c r="C1992" s="1100">
        <v>0.98675783577137066</v>
      </c>
      <c r="D1992" s="1100">
        <v>0.97570191716601118</v>
      </c>
      <c r="E1992" s="1100">
        <v>0.99824160868150213</v>
      </c>
      <c r="F1992" s="1100">
        <v>0.99070789860116837</v>
      </c>
      <c r="G1992" s="1100">
        <v>1.0183456385051988</v>
      </c>
      <c r="H1992" s="1100">
        <v>0.95939222562706328</v>
      </c>
      <c r="I1992" s="1100">
        <v>1.0209625364894053</v>
      </c>
      <c r="K1992">
        <v>1.3073863334111044</v>
      </c>
      <c r="L1992">
        <v>0</v>
      </c>
      <c r="M1992">
        <v>5.9228685726186439E-4</v>
      </c>
      <c r="N1992">
        <v>5.41676784647201E-2</v>
      </c>
      <c r="O1992">
        <v>7.9434471696680862E-3</v>
      </c>
      <c r="P1992">
        <v>1.6128225683461343E-2</v>
      </c>
      <c r="Q1992">
        <v>4.5909383942984344E-4</v>
      </c>
      <c r="R1992">
        <v>5.9046514526105967E-4</v>
      </c>
      <c r="S1992">
        <v>6.2205454576695997E-2</v>
      </c>
      <c r="T1992">
        <v>1.0228377266812991</v>
      </c>
      <c r="U1992">
        <v>0</v>
      </c>
      <c r="V1992">
        <v>9.8937402624984114E-2</v>
      </c>
      <c r="W1992">
        <v>3.562171681542016E-2</v>
      </c>
      <c r="X1992">
        <v>7.480357788807168E-3</v>
      </c>
      <c r="Y1992">
        <v>1.6070514786177821E-3</v>
      </c>
    </row>
    <row r="1993" spans="1:25" x14ac:dyDescent="0.25">
      <c r="A1993" s="1096"/>
      <c r="B1993" s="1455">
        <v>1743</v>
      </c>
      <c r="C1993" s="1100">
        <v>1.0356625068330441</v>
      </c>
      <c r="D1993" s="1100">
        <v>0.98263535226521792</v>
      </c>
      <c r="E1993" s="1100">
        <v>1.0122928544260439</v>
      </c>
      <c r="F1993" s="1100">
        <v>0.98656311859071877</v>
      </c>
      <c r="G1993" s="1100">
        <v>0.9731919086107057</v>
      </c>
      <c r="H1993" s="1100">
        <v>1.000132115042369</v>
      </c>
      <c r="I1993" s="1100">
        <v>0.96155448914691377</v>
      </c>
      <c r="K1993">
        <v>1.2935376656453845</v>
      </c>
      <c r="L1993">
        <v>0</v>
      </c>
      <c r="M1993">
        <v>5.6975352135520748E-4</v>
      </c>
      <c r="N1993">
        <v>5.4372486359193735E-2</v>
      </c>
      <c r="O1993">
        <v>7.5503027555947032E-3</v>
      </c>
      <c r="P1993">
        <v>1.6111952387748166E-2</v>
      </c>
      <c r="Q1993">
        <v>4.4256084107074489E-4</v>
      </c>
      <c r="R1993">
        <v>5.6807249909930527E-4</v>
      </c>
      <c r="S1993">
        <v>5.6782356554543903E-2</v>
      </c>
      <c r="T1993">
        <v>1.0181480827664096</v>
      </c>
      <c r="U1993">
        <v>0</v>
      </c>
      <c r="V1993">
        <v>9.5582493858519607E-2</v>
      </c>
      <c r="W1993">
        <v>3.5460260124564262E-2</v>
      </c>
      <c r="X1993">
        <v>7.5427449424957963E-3</v>
      </c>
      <c r="Y1993">
        <v>1.5461060774993091E-3</v>
      </c>
    </row>
    <row r="1994" spans="1:25" x14ac:dyDescent="0.25">
      <c r="A1994" s="1096"/>
      <c r="B1994" s="1455">
        <v>1744</v>
      </c>
      <c r="C1994" s="1100">
        <v>1.0370334243386077</v>
      </c>
      <c r="D1994" s="1100">
        <v>1.0080513736940038</v>
      </c>
      <c r="E1994" s="1100">
        <v>0.98731779156802013</v>
      </c>
      <c r="F1994" s="1100">
        <v>1.0107617162713929</v>
      </c>
      <c r="G1994" s="1100">
        <v>0.97944070336087541</v>
      </c>
      <c r="H1994" s="1100">
        <v>0.98281653932877033</v>
      </c>
      <c r="I1994" s="1100">
        <v>1.0371067511683476</v>
      </c>
      <c r="K1994">
        <v>1.3181620045761717</v>
      </c>
      <c r="L1994">
        <v>0</v>
      </c>
      <c r="M1994">
        <v>5.8289418675790833E-4</v>
      </c>
      <c r="N1994">
        <v>5.158091823545706E-2</v>
      </c>
      <c r="O1994">
        <v>7.4578001184495996E-3</v>
      </c>
      <c r="P1994">
        <v>1.6205794109055968E-2</v>
      </c>
      <c r="Q1994">
        <v>4.2630001124058952E-4</v>
      </c>
      <c r="R1994">
        <v>5.8114409392583154E-4</v>
      </c>
      <c r="S1994">
        <v>5.9779507348546458E-2</v>
      </c>
      <c r="T1994">
        <v>1.0438729394409636</v>
      </c>
      <c r="U1994">
        <v>0</v>
      </c>
      <c r="V1994">
        <v>9.5825829808777019E-2</v>
      </c>
      <c r="W1994">
        <v>3.4142828746971318E-2</v>
      </c>
      <c r="X1994">
        <v>7.2901541999748493E-3</v>
      </c>
      <c r="Y1994">
        <v>1.5816826495670371E-3</v>
      </c>
    </row>
    <row r="1995" spans="1:25" x14ac:dyDescent="0.25">
      <c r="A1995" s="1096"/>
      <c r="B1995" s="1455">
        <v>1745</v>
      </c>
      <c r="C1995" s="1100">
        <v>0.98524354444015771</v>
      </c>
      <c r="D1995" s="1100">
        <v>1.0096954420200248</v>
      </c>
      <c r="E1995" s="1100">
        <v>0.9816098530302072</v>
      </c>
      <c r="F1995" s="1100">
        <v>0.99354506929725583</v>
      </c>
      <c r="G1995" s="1100">
        <v>0.99376397658946169</v>
      </c>
      <c r="H1995" s="1100">
        <v>1.0025112539611822</v>
      </c>
      <c r="I1995" s="1100">
        <v>0.99588437607424019</v>
      </c>
      <c r="K1995">
        <v>1.3097832908456135</v>
      </c>
      <c r="L1995">
        <v>0</v>
      </c>
      <c r="M1995">
        <v>6.3285194336517388E-4</v>
      </c>
      <c r="N1995">
        <v>5.5046439019993572E-2</v>
      </c>
      <c r="O1995">
        <v>7.8432952322754091E-3</v>
      </c>
      <c r="P1995">
        <v>1.594122585449987E-2</v>
      </c>
      <c r="Q1995">
        <v>4.4574844541712174E-4</v>
      </c>
      <c r="R1995">
        <v>6.3098918432473005E-4</v>
      </c>
      <c r="S1995">
        <v>6.0967799869882523E-2</v>
      </c>
      <c r="T1995">
        <v>1.0262637297758199</v>
      </c>
      <c r="U1995">
        <v>0</v>
      </c>
      <c r="V1995">
        <v>9.7768283719004687E-2</v>
      </c>
      <c r="W1995">
        <v>3.6562106626973602E-2</v>
      </c>
      <c r="X1995">
        <v>7.2291805065832233E-3</v>
      </c>
      <c r="Y1995">
        <v>1.7173445542032059E-3</v>
      </c>
    </row>
    <row r="1996" spans="1:25" x14ac:dyDescent="0.25">
      <c r="A1996" s="1096"/>
      <c r="B1996" s="1455">
        <v>1746</v>
      </c>
      <c r="C1996" s="1100">
        <v>1.0249996697068964</v>
      </c>
      <c r="D1996" s="1100">
        <v>1.0138682980033782</v>
      </c>
      <c r="E1996" s="1100">
        <v>0.96420776573590372</v>
      </c>
      <c r="F1996" s="1100">
        <v>1.0210884188851528</v>
      </c>
      <c r="G1996" s="1100">
        <v>0.97663790841303044</v>
      </c>
      <c r="H1996" s="1100">
        <v>0.99761493594027684</v>
      </c>
      <c r="I1996" s="1100">
        <v>0.95982715655162687</v>
      </c>
      <c r="K1996">
        <v>1.3264795642757099</v>
      </c>
      <c r="L1996">
        <v>0</v>
      </c>
      <c r="M1996">
        <v>6.2645367297987215E-4</v>
      </c>
      <c r="N1996">
        <v>5.1692914715760797E-2</v>
      </c>
      <c r="O1996">
        <v>7.5225279521343872E-3</v>
      </c>
      <c r="P1996">
        <v>1.6027857773658297E-2</v>
      </c>
      <c r="Q1996">
        <v>4.1999399659127529E-4</v>
      </c>
      <c r="R1996">
        <v>6.24600696803567E-4</v>
      </c>
      <c r="S1996">
        <v>5.6201692887931934E-2</v>
      </c>
      <c r="T1996">
        <v>1.0552574148642058</v>
      </c>
      <c r="U1996">
        <v>0</v>
      </c>
      <c r="V1996">
        <v>9.5945621916204968E-2</v>
      </c>
      <c r="W1996">
        <v>3.4699423674497167E-2</v>
      </c>
      <c r="X1996">
        <v>7.0140122737650558E-3</v>
      </c>
      <c r="Y1996">
        <v>1.6999571971349446E-3</v>
      </c>
    </row>
    <row r="1997" spans="1:25" x14ac:dyDescent="0.25">
      <c r="A1997" s="1096"/>
      <c r="B1997" s="1455">
        <v>1747</v>
      </c>
      <c r="C1997" s="1100">
        <v>1.0097618625469509</v>
      </c>
      <c r="D1997" s="1100">
        <v>0.99174549421040681</v>
      </c>
      <c r="E1997" s="1100">
        <v>0.97608878484019612</v>
      </c>
      <c r="F1997" s="1100">
        <v>0.98139880892799591</v>
      </c>
      <c r="G1997" s="1100">
        <v>1.0215201600142796</v>
      </c>
      <c r="H1997" s="1100">
        <v>0.9980107627338145</v>
      </c>
      <c r="I1997" s="1100">
        <v>0.99802154708873958</v>
      </c>
      <c r="K1997">
        <v>1.2942999109473543</v>
      </c>
      <c r="L1997">
        <v>0</v>
      </c>
      <c r="M1997">
        <v>6.2624741151769961E-4</v>
      </c>
      <c r="N1997">
        <v>5.356878844047884E-2</v>
      </c>
      <c r="O1997">
        <v>7.7066145445407342E-3</v>
      </c>
      <c r="P1997">
        <v>1.5706003628927462E-2</v>
      </c>
      <c r="Q1997">
        <v>4.3552818139888698E-4</v>
      </c>
      <c r="R1997">
        <v>6.243957801160781E-4</v>
      </c>
      <c r="S1997">
        <v>6.0049611255991911E-2</v>
      </c>
      <c r="T1997">
        <v>1.0138821816994417</v>
      </c>
      <c r="U1997">
        <v>0</v>
      </c>
      <c r="V1997">
        <v>9.8494163239372656E-2</v>
      </c>
      <c r="W1997">
        <v>3.5699567723065956E-2</v>
      </c>
      <c r="X1997">
        <v>7.0599043840745045E-3</v>
      </c>
      <c r="Y1997">
        <v>1.6993994814623681E-3</v>
      </c>
    </row>
    <row r="1998" spans="1:25" x14ac:dyDescent="0.25">
      <c r="A1998" s="1096"/>
      <c r="B1998" s="1455">
        <v>1748</v>
      </c>
      <c r="C1998" s="1100">
        <v>0.9621970205657403</v>
      </c>
      <c r="D1998" s="1100">
        <v>0.99536085089450066</v>
      </c>
      <c r="E1998" s="1100">
        <v>1.0300499808029762</v>
      </c>
      <c r="F1998" s="1100">
        <v>1.011109163454597</v>
      </c>
      <c r="G1998" s="1100">
        <v>1.0260243085221896</v>
      </c>
      <c r="H1998" s="1100">
        <v>1.0152509393661509</v>
      </c>
      <c r="I1998" s="1100">
        <v>0.99023082050617273</v>
      </c>
      <c r="K1998">
        <v>1.3399773716973509</v>
      </c>
      <c r="L1998">
        <v>0</v>
      </c>
      <c r="M1998">
        <v>5.9686145057032884E-4</v>
      </c>
      <c r="N1998">
        <v>6.009630176215161E-2</v>
      </c>
      <c r="O1998">
        <v>8.0896150653785859E-3</v>
      </c>
      <c r="P1998">
        <v>1.681693008526311E-2</v>
      </c>
      <c r="Q1998">
        <v>4.8261213779268291E-4</v>
      </c>
      <c r="R1998">
        <v>5.951266724004904E-4</v>
      </c>
      <c r="S1998">
        <v>6.3001552826005502E-2</v>
      </c>
      <c r="T1998">
        <v>1.0429568465946237</v>
      </c>
      <c r="U1998">
        <v>0</v>
      </c>
      <c r="V1998">
        <v>9.9986405888412289E-2</v>
      </c>
      <c r="W1998">
        <v>3.8788479267956262E-2</v>
      </c>
      <c r="X1998">
        <v>8.1406242291158521E-3</v>
      </c>
      <c r="Y1998">
        <v>1.6197386188193034E-3</v>
      </c>
    </row>
    <row r="1999" spans="1:25" x14ac:dyDescent="0.25">
      <c r="A1999" s="1096"/>
      <c r="B1999" s="1455">
        <v>1749</v>
      </c>
      <c r="C1999" s="1100">
        <v>0.99293944761274278</v>
      </c>
      <c r="D1999" s="1100">
        <v>0.99719771729531537</v>
      </c>
      <c r="E1999" s="1100">
        <v>1.0180959337976769</v>
      </c>
      <c r="F1999" s="1100">
        <v>1.0106625184192259</v>
      </c>
      <c r="G1999" s="1100">
        <v>1.0033355627062488</v>
      </c>
      <c r="H1999" s="1100">
        <v>1.0048873804066021</v>
      </c>
      <c r="I1999" s="1100">
        <v>0.98452227639310874</v>
      </c>
      <c r="K1999">
        <v>1.3295552263328629</v>
      </c>
      <c r="L1999">
        <v>0</v>
      </c>
      <c r="M1999">
        <v>5.8647162180452636E-4</v>
      </c>
      <c r="N1999">
        <v>5.6957507339449071E-2</v>
      </c>
      <c r="O1999">
        <v>7.8304036680759068E-3</v>
      </c>
      <c r="P1999">
        <v>1.6605661890589863E-2</v>
      </c>
      <c r="Q1999">
        <v>4.6164155721852408E-4</v>
      </c>
      <c r="R1999">
        <v>5.8474946207987368E-4</v>
      </c>
      <c r="S1999">
        <v>6.0313179088123225E-2</v>
      </c>
      <c r="T1999">
        <v>1.0428471067689702</v>
      </c>
      <c r="U1999">
        <v>0</v>
      </c>
      <c r="V1999">
        <v>9.80772223360869E-2</v>
      </c>
      <c r="W1999">
        <v>3.7019763107356565E-2</v>
      </c>
      <c r="X1999">
        <v>7.8529674635422521E-3</v>
      </c>
      <c r="Y1999">
        <v>1.5914952731730476E-3</v>
      </c>
    </row>
    <row r="2000" spans="1:25" x14ac:dyDescent="0.25">
      <c r="A2000" s="1096"/>
      <c r="B2000" s="1455">
        <v>1750</v>
      </c>
      <c r="C2000" s="1100">
        <v>1.0025131857219669</v>
      </c>
      <c r="D2000" s="1100">
        <v>0.98719306787903982</v>
      </c>
      <c r="E2000" s="1100">
        <v>1.0025823514119758</v>
      </c>
      <c r="F2000" s="1100">
        <v>0.9772453638278602</v>
      </c>
      <c r="G2000" s="1100">
        <v>1.02749836538561</v>
      </c>
      <c r="H2000" s="1100">
        <v>0.98462777758380571</v>
      </c>
      <c r="I2000" s="1100">
        <v>0.95984508164335824</v>
      </c>
      <c r="K2000">
        <v>1.289508802193293</v>
      </c>
      <c r="L2000">
        <v>0</v>
      </c>
      <c r="M2000">
        <v>5.9017913190496701E-4</v>
      </c>
      <c r="N2000">
        <v>5.4691724783299187E-2</v>
      </c>
      <c r="O2000">
        <v>7.7831454842877072E-3</v>
      </c>
      <c r="P2000">
        <v>1.5931340441172951E-2</v>
      </c>
      <c r="Q2000">
        <v>4.5179570181190764E-4</v>
      </c>
      <c r="R2000">
        <v>5.8841042617000763E-4</v>
      </c>
      <c r="S2000">
        <v>5.79455875740073E-2</v>
      </c>
      <c r="T2000">
        <v>1.0088123753988711</v>
      </c>
      <c r="U2000">
        <v>0</v>
      </c>
      <c r="V2000">
        <v>9.8990356308032046E-2</v>
      </c>
      <c r="W2000">
        <v>3.5873699927181625E-2</v>
      </c>
      <c r="X2000">
        <v>7.4290860697726665E-3</v>
      </c>
      <c r="Y2000">
        <v>1.6014592105899046E-3</v>
      </c>
    </row>
    <row r="2001" spans="1:25" x14ac:dyDescent="0.25">
      <c r="A2001" s="1096"/>
      <c r="B2001" s="1455">
        <v>1751</v>
      </c>
      <c r="C2001" s="1100">
        <v>1.0049375953753141</v>
      </c>
      <c r="D2001" s="1100">
        <v>0.97892086442975956</v>
      </c>
      <c r="E2001" s="1100">
        <v>0.9859420491828198</v>
      </c>
      <c r="F2001" s="1100">
        <v>0.99352571421971669</v>
      </c>
      <c r="G2001" s="1100">
        <v>0.97231361264667937</v>
      </c>
      <c r="H2001" s="1100">
        <v>1.0379530307650513</v>
      </c>
      <c r="I2001" s="1100">
        <v>1.0064923877369865</v>
      </c>
      <c r="K2001">
        <v>1.3125822201605544</v>
      </c>
      <c r="L2001">
        <v>0</v>
      </c>
      <c r="M2001">
        <v>6.4458384867713042E-4</v>
      </c>
      <c r="N2001">
        <v>5.6812166434491593E-2</v>
      </c>
      <c r="O2001">
        <v>7.7864512508191716E-3</v>
      </c>
      <c r="P2001">
        <v>1.5991903554729566E-2</v>
      </c>
      <c r="Q2001">
        <v>4.4446660226963794E-4</v>
      </c>
      <c r="R2001">
        <v>6.4275134212471159E-4</v>
      </c>
      <c r="S2001">
        <v>6.2518150843770812E-2</v>
      </c>
      <c r="T2001">
        <v>1.0261135382376958</v>
      </c>
      <c r="U2001">
        <v>0</v>
      </c>
      <c r="V2001">
        <v>9.6242657539140852E-2</v>
      </c>
      <c r="W2001">
        <v>3.7636624177364963E-2</v>
      </c>
      <c r="X2001">
        <v>7.2887367564834441E-3</v>
      </c>
      <c r="Y2001">
        <v>1.7493572703404787E-3</v>
      </c>
    </row>
    <row r="2002" spans="1:25" x14ac:dyDescent="0.25">
      <c r="A2002" s="1096"/>
      <c r="B2002" s="1455">
        <v>1752</v>
      </c>
      <c r="C2002" s="1100">
        <v>1.0483600395387709</v>
      </c>
      <c r="D2002" s="1100">
        <v>0.99699452871504424</v>
      </c>
      <c r="E2002" s="1100">
        <v>0.98935037040526497</v>
      </c>
      <c r="F2002" s="1100">
        <v>1.0297274339867888</v>
      </c>
      <c r="G2002" s="1100">
        <v>1.0271658137867095</v>
      </c>
      <c r="H2002" s="1100">
        <v>1.0314028260190147</v>
      </c>
      <c r="I2002" s="1100">
        <v>0.99186181877604662</v>
      </c>
      <c r="K2002">
        <v>1.3424914920165585</v>
      </c>
      <c r="L2002">
        <v>0</v>
      </c>
      <c r="M2002">
        <v>6.0522395340215378E-4</v>
      </c>
      <c r="N2002">
        <v>5.3894728224545878E-2</v>
      </c>
      <c r="O2002">
        <v>7.4103183674732922E-3</v>
      </c>
      <c r="P2002">
        <v>1.6502533061110197E-2</v>
      </c>
      <c r="Q2002">
        <v>4.2445781881158114E-4</v>
      </c>
      <c r="R2002">
        <v>6.0349241706681008E-4</v>
      </c>
      <c r="S2002">
        <v>5.8297050635650764E-2</v>
      </c>
      <c r="T2002">
        <v>1.0633969218953381</v>
      </c>
      <c r="U2002">
        <v>0</v>
      </c>
      <c r="V2002">
        <v>9.7878523443864107E-2</v>
      </c>
      <c r="W2002">
        <v>3.5630933914673903E-2</v>
      </c>
      <c r="X2002">
        <v>7.4152487733915654E-3</v>
      </c>
      <c r="Y2002">
        <v>1.6425074180340376E-3</v>
      </c>
    </row>
    <row r="2003" spans="1:25" x14ac:dyDescent="0.25">
      <c r="A2003" s="1096"/>
      <c r="B2003" s="1455">
        <v>1753</v>
      </c>
      <c r="C2003" s="1100">
        <v>0.99394850581024907</v>
      </c>
      <c r="D2003" s="1100">
        <v>0.98072790416449118</v>
      </c>
      <c r="E2003" s="1100">
        <v>0.95378260314781937</v>
      </c>
      <c r="F2003" s="1100">
        <v>0.96080648601772134</v>
      </c>
      <c r="G2003" s="1100">
        <v>0.99362168452331889</v>
      </c>
      <c r="H2003" s="1100">
        <v>0.96489702410035261</v>
      </c>
      <c r="I2003" s="1100">
        <v>0.9990745196342643</v>
      </c>
      <c r="K2003">
        <v>1.269706483105457</v>
      </c>
      <c r="L2003">
        <v>0</v>
      </c>
      <c r="M2003">
        <v>6.4694935863740099E-4</v>
      </c>
      <c r="N2003">
        <v>5.17188081391695E-2</v>
      </c>
      <c r="O2003">
        <v>7.8587677246186836E-3</v>
      </c>
      <c r="P2003">
        <v>1.5158585059492078E-2</v>
      </c>
      <c r="Q2003">
        <v>4.3408785213670706E-4</v>
      </c>
      <c r="R2003">
        <v>6.4497087192423054E-4</v>
      </c>
      <c r="S2003">
        <v>6.0391211494334775E-2</v>
      </c>
      <c r="T2003">
        <v>0.99326870180626281</v>
      </c>
      <c r="U2003">
        <v>0</v>
      </c>
      <c r="V2003">
        <v>9.7510517371422356E-2</v>
      </c>
      <c r="W2003">
        <v>3.4939735788711762E-2</v>
      </c>
      <c r="X2003">
        <v>6.6726482572334817E-3</v>
      </c>
      <c r="Y2003">
        <v>1.7553980987869667E-3</v>
      </c>
    </row>
    <row r="2004" spans="1:25" x14ac:dyDescent="0.25">
      <c r="A2004" s="1096"/>
      <c r="B2004" s="1455">
        <v>1754</v>
      </c>
      <c r="C2004" s="1100">
        <v>0.99863757063220171</v>
      </c>
      <c r="D2004" s="1100">
        <v>0.9955002296526807</v>
      </c>
      <c r="E2004" s="1100">
        <v>0.97715376632589668</v>
      </c>
      <c r="F2004" s="1100">
        <v>1.0089912800944463</v>
      </c>
      <c r="G2004" s="1100">
        <v>0.99377490418595837</v>
      </c>
      <c r="H2004" s="1100">
        <v>0.99870570532401137</v>
      </c>
      <c r="I2004" s="1100">
        <v>1.0011565315909265</v>
      </c>
      <c r="K2004">
        <v>1.3240991228610002</v>
      </c>
      <c r="L2004">
        <v>0</v>
      </c>
      <c r="M2004">
        <v>6.3131628977216951E-4</v>
      </c>
      <c r="N2004">
        <v>5.41768231201019E-2</v>
      </c>
      <c r="O2004">
        <v>7.7809537182945195E-3</v>
      </c>
      <c r="P2004">
        <v>1.6096321033624513E-2</v>
      </c>
      <c r="Q2004">
        <v>4.4020648995762596E-4</v>
      </c>
      <c r="R2004">
        <v>6.2945097004612929E-4</v>
      </c>
      <c r="S2004">
        <v>6.0808208851544809E-2</v>
      </c>
      <c r="T2004">
        <v>1.042355202212524</v>
      </c>
      <c r="U2004">
        <v>0</v>
      </c>
      <c r="V2004">
        <v>9.7426613962204006E-2</v>
      </c>
      <c r="W2004">
        <v>3.6081504753317624E-2</v>
      </c>
      <c r="X2004">
        <v>7.2219959971488151E-3</v>
      </c>
      <c r="Y2004">
        <v>1.7131580420090542E-3</v>
      </c>
    </row>
    <row r="2005" spans="1:25" x14ac:dyDescent="0.25">
      <c r="A2005" s="1096"/>
      <c r="B2005" s="1455">
        <v>1755</v>
      </c>
      <c r="C2005" s="1100">
        <v>0.99123772065257809</v>
      </c>
      <c r="D2005" s="1100">
        <v>0.96247444295857509</v>
      </c>
      <c r="E2005" s="1100">
        <v>1.0113265603449739</v>
      </c>
      <c r="F2005" s="1100">
        <v>0.9736031288980761</v>
      </c>
      <c r="G2005" s="1100">
        <v>1.0017329779301118</v>
      </c>
      <c r="H2005" s="1100">
        <v>0.97793461501272783</v>
      </c>
      <c r="I2005" s="1100">
        <v>1.0454208101699434</v>
      </c>
      <c r="K2005">
        <v>1.2934801857985561</v>
      </c>
      <c r="L2005">
        <v>0</v>
      </c>
      <c r="M2005">
        <v>5.8810280091162973E-4</v>
      </c>
      <c r="N2005">
        <v>5.5956362898011695E-2</v>
      </c>
      <c r="O2005">
        <v>7.954131756977071E-3</v>
      </c>
      <c r="P2005">
        <v>1.6056800112222481E-2</v>
      </c>
      <c r="Q2005">
        <v>4.657815824292007E-4</v>
      </c>
      <c r="R2005">
        <v>5.8632825496977262E-4</v>
      </c>
      <c r="S2005">
        <v>6.4496924093147529E-2</v>
      </c>
      <c r="T2005">
        <v>1.0048008492171598</v>
      </c>
      <c r="U2005">
        <v>0</v>
      </c>
      <c r="V2005">
        <v>9.8034920436193718E-2</v>
      </c>
      <c r="W2005">
        <v>3.6513991566204607E-2</v>
      </c>
      <c r="X2005">
        <v>7.6064064551812803E-3</v>
      </c>
      <c r="Y2005">
        <v>1.5957922269704162E-3</v>
      </c>
    </row>
    <row r="2006" spans="1:25" x14ac:dyDescent="0.25">
      <c r="A2006" s="1096"/>
      <c r="B2006" s="1455">
        <v>1756</v>
      </c>
      <c r="C2006" s="1100">
        <v>0.98405745483059759</v>
      </c>
      <c r="D2006" s="1100">
        <v>0.95878153045323977</v>
      </c>
      <c r="E2006" s="1100">
        <v>0.9853541240962379</v>
      </c>
      <c r="F2006" s="1100">
        <v>0.99471216548545516</v>
      </c>
      <c r="G2006" s="1100">
        <v>1.0031154608732855</v>
      </c>
      <c r="H2006" s="1100">
        <v>1.0185357880743207</v>
      </c>
      <c r="I2006" s="1100">
        <v>0.97738440955239925</v>
      </c>
      <c r="K2006">
        <v>1.3167032542565582</v>
      </c>
      <c r="L2006">
        <v>0</v>
      </c>
      <c r="M2006">
        <v>6.521331345018895E-4</v>
      </c>
      <c r="N2006">
        <v>5.737231368496911E-2</v>
      </c>
      <c r="O2006">
        <v>8.0179125846762192E-3</v>
      </c>
      <c r="P2006">
        <v>1.6022975653587464E-2</v>
      </c>
      <c r="Q2006">
        <v>4.5740633523928207E-4</v>
      </c>
      <c r="R2006">
        <v>6.5024382202752016E-4</v>
      </c>
      <c r="S2006">
        <v>6.2091906679389353E-2</v>
      </c>
      <c r="T2006">
        <v>1.027356563049294</v>
      </c>
      <c r="U2006">
        <v>0</v>
      </c>
      <c r="V2006">
        <v>9.8255111948566898E-2</v>
      </c>
      <c r="W2006">
        <v>3.8021142554615861E-2</v>
      </c>
      <c r="X2006">
        <v>7.3400617479527433E-3</v>
      </c>
      <c r="Y2006">
        <v>1.769749330740587E-3</v>
      </c>
    </row>
    <row r="2007" spans="1:25" x14ac:dyDescent="0.25">
      <c r="A2007" s="1096"/>
      <c r="B2007" s="1455">
        <v>1757</v>
      </c>
      <c r="C2007" s="1100">
        <v>0.99784715551691638</v>
      </c>
      <c r="D2007" s="1100">
        <v>1.0147927031026009</v>
      </c>
      <c r="E2007" s="1100">
        <v>1.0158449488199002</v>
      </c>
      <c r="F2007" s="1100">
        <v>1.002691975161299</v>
      </c>
      <c r="G2007" s="1100">
        <v>1.0207042444958649</v>
      </c>
      <c r="H2007" s="1100">
        <v>0.9631333972712085</v>
      </c>
      <c r="I2007" s="1100">
        <v>0.98479101384496714</v>
      </c>
      <c r="K2007">
        <v>1.3144292846309347</v>
      </c>
      <c r="L2007">
        <v>0</v>
      </c>
      <c r="M2007">
        <v>5.5804532543777738E-4</v>
      </c>
      <c r="N2007">
        <v>5.3823032058628983E-2</v>
      </c>
      <c r="O2007">
        <v>7.7370158692439579E-3</v>
      </c>
      <c r="P2007">
        <v>1.6446594611248266E-2</v>
      </c>
      <c r="Q2007">
        <v>4.5511457661718998E-4</v>
      </c>
      <c r="R2007">
        <v>5.5633559812200779E-4</v>
      </c>
      <c r="S2007">
        <v>5.8219523069992792E-2</v>
      </c>
      <c r="T2007">
        <v>1.0346887839740486</v>
      </c>
      <c r="U2007">
        <v>0</v>
      </c>
      <c r="V2007">
        <v>9.8792228235773494E-2</v>
      </c>
      <c r="W2007">
        <v>3.502870863339131E-2</v>
      </c>
      <c r="X2007">
        <v>7.7258312271987787E-3</v>
      </c>
      <c r="Y2007">
        <v>1.5141621021074728E-3</v>
      </c>
    </row>
    <row r="2008" spans="1:25" x14ac:dyDescent="0.25">
      <c r="A2008" s="1096"/>
      <c r="B2008" s="1455">
        <v>1758</v>
      </c>
      <c r="C2008" s="1100">
        <v>0.97768208799335476</v>
      </c>
      <c r="D2008" s="1100">
        <v>0.96522601904554961</v>
      </c>
      <c r="E2008" s="1100">
        <v>0.9933896948969646</v>
      </c>
      <c r="F2008" s="1100">
        <v>1.0034955862541131</v>
      </c>
      <c r="G2008" s="1100">
        <v>1.0283716046629445</v>
      </c>
      <c r="H2008" s="1100">
        <v>0.99187321122941841</v>
      </c>
      <c r="I2008" s="1100">
        <v>1.0059222188931767</v>
      </c>
      <c r="K2008">
        <v>1.3268701813719075</v>
      </c>
      <c r="L2008">
        <v>0</v>
      </c>
      <c r="M2008">
        <v>6.2697220719574586E-4</v>
      </c>
      <c r="N2008">
        <v>5.6510890683493652E-2</v>
      </c>
      <c r="O2008">
        <v>8.0506433424519276E-3</v>
      </c>
      <c r="P2008">
        <v>1.6274741576734881E-2</v>
      </c>
      <c r="Q2008">
        <v>4.6302032254313637E-4</v>
      </c>
      <c r="R2008">
        <v>6.251069619270074E-4</v>
      </c>
      <c r="S2008">
        <v>6.3249736215571034E-2</v>
      </c>
      <c r="T2008">
        <v>1.0361856641205955</v>
      </c>
      <c r="U2008">
        <v>0</v>
      </c>
      <c r="V2008">
        <v>9.9650067207237861E-2</v>
      </c>
      <c r="W2008">
        <v>3.7270335586643402E-2</v>
      </c>
      <c r="X2008">
        <v>7.5156124779946201E-3</v>
      </c>
      <c r="Y2008">
        <v>1.7013350839106968E-3</v>
      </c>
    </row>
    <row r="2009" spans="1:25" x14ac:dyDescent="0.25">
      <c r="A2009" s="1096"/>
      <c r="B2009" s="1455">
        <v>1759</v>
      </c>
      <c r="C2009" s="1100">
        <v>0.96091769795295356</v>
      </c>
      <c r="D2009" s="1100">
        <v>1.0022431067230457</v>
      </c>
      <c r="E2009" s="1100">
        <v>0.98305062375756236</v>
      </c>
      <c r="F2009" s="1100">
        <v>1.0009088103924086</v>
      </c>
      <c r="G2009" s="1100">
        <v>0.98169005179111757</v>
      </c>
      <c r="H2009" s="1100">
        <v>1.0083677637847297</v>
      </c>
      <c r="I2009" s="1100">
        <v>0.99394452426608637</v>
      </c>
      <c r="K2009">
        <v>1.3230542421985885</v>
      </c>
      <c r="L2009">
        <v>0</v>
      </c>
      <c r="M2009">
        <v>6.5265221292816619E-4</v>
      </c>
      <c r="N2009">
        <v>5.7017642996142349E-2</v>
      </c>
      <c r="O2009">
        <v>8.0660821214164347E-3</v>
      </c>
      <c r="P2009">
        <v>1.6086225148117229E-2</v>
      </c>
      <c r="Q2009">
        <v>4.5908073595684088E-4</v>
      </c>
      <c r="R2009">
        <v>6.5074233029402352E-4</v>
      </c>
      <c r="S2009">
        <v>6.2823885608126545E-2</v>
      </c>
      <c r="T2009">
        <v>1.0338262830513585</v>
      </c>
      <c r="U2009">
        <v>0</v>
      </c>
      <c r="V2009">
        <v>9.7822459098714051E-2</v>
      </c>
      <c r="W2009">
        <v>3.7838517728868613E-2</v>
      </c>
      <c r="X2009">
        <v>7.3448694866123749E-3</v>
      </c>
      <c r="Y2009">
        <v>1.7711061059088029E-3</v>
      </c>
    </row>
    <row r="2010" spans="1:25" x14ac:dyDescent="0.25">
      <c r="A2010" s="1096"/>
      <c r="B2010" s="1455">
        <v>1760</v>
      </c>
      <c r="C2010" s="1100">
        <v>0.99411780348648104</v>
      </c>
      <c r="D2010" s="1100">
        <v>0.97426772374919512</v>
      </c>
      <c r="E2010" s="1100">
        <v>0.98252837288115957</v>
      </c>
      <c r="F2010" s="1100">
        <v>0.99012880130830139</v>
      </c>
      <c r="G2010" s="1100">
        <v>1.0147988423059833</v>
      </c>
      <c r="H2010" s="1100">
        <v>0.99504386631271313</v>
      </c>
      <c r="I2010" s="1100">
        <v>1.0444813552558354</v>
      </c>
      <c r="K2010">
        <v>1.3103525169397265</v>
      </c>
      <c r="L2010">
        <v>0</v>
      </c>
      <c r="M2010">
        <v>6.3029017666079053E-4</v>
      </c>
      <c r="N2010">
        <v>5.4974945176033685E-2</v>
      </c>
      <c r="O2010">
        <v>7.8853636747283837E-3</v>
      </c>
      <c r="P2010">
        <v>1.5960802125168566E-2</v>
      </c>
      <c r="Q2010">
        <v>4.485573582112361E-4</v>
      </c>
      <c r="R2010">
        <v>6.2842103537681757E-4</v>
      </c>
      <c r="S2010">
        <v>6.435690744475904E-2</v>
      </c>
      <c r="T2010">
        <v>1.0227074027542806</v>
      </c>
      <c r="U2010">
        <v>0</v>
      </c>
      <c r="V2010">
        <v>9.8562307846735045E-2</v>
      </c>
      <c r="W2010">
        <v>3.6494406976842454E-2</v>
      </c>
      <c r="X2010">
        <v>7.253337824895561E-3</v>
      </c>
      <c r="Y2010">
        <v>1.7103548993570607E-3</v>
      </c>
    </row>
    <row r="2011" spans="1:25" x14ac:dyDescent="0.25">
      <c r="A2011" s="1096"/>
      <c r="B2011" s="1455">
        <v>1761</v>
      </c>
      <c r="C2011" s="1100">
        <v>1.028093433019138</v>
      </c>
      <c r="D2011" s="1100">
        <v>0.99706611055209649</v>
      </c>
      <c r="E2011" s="1100">
        <v>0.9903255058209196</v>
      </c>
      <c r="F2011" s="1100">
        <v>1.0212277654471327</v>
      </c>
      <c r="G2011" s="1100">
        <v>0.95421274188821537</v>
      </c>
      <c r="H2011" s="1100">
        <v>1.0172628746955441</v>
      </c>
      <c r="I2011" s="1100">
        <v>0.98666903303680298</v>
      </c>
      <c r="K2011">
        <v>1.3316218374704485</v>
      </c>
      <c r="L2011">
        <v>0</v>
      </c>
      <c r="M2011">
        <v>6.0744830090741434E-4</v>
      </c>
      <c r="N2011">
        <v>5.4250357836525258E-2</v>
      </c>
      <c r="O2011">
        <v>7.5564122634881204E-3</v>
      </c>
      <c r="P2011">
        <v>1.6359630902377069E-2</v>
      </c>
      <c r="Q2011">
        <v>4.3325283070665729E-4</v>
      </c>
      <c r="R2011">
        <v>6.0568624394067932E-4</v>
      </c>
      <c r="S2011">
        <v>5.8718893035570333E-2</v>
      </c>
      <c r="T2011">
        <v>1.054589392525747</v>
      </c>
      <c r="U2011">
        <v>0</v>
      </c>
      <c r="V2011">
        <v>9.4816512526222529E-2</v>
      </c>
      <c r="W2011">
        <v>3.5845099829092932E-2</v>
      </c>
      <c r="X2011">
        <v>7.405569486095792E-3</v>
      </c>
      <c r="Y2011">
        <v>1.6484782915898747E-3</v>
      </c>
    </row>
    <row r="2012" spans="1:25" x14ac:dyDescent="0.25">
      <c r="A2012" s="1096"/>
      <c r="B2012" s="1455">
        <v>1762</v>
      </c>
      <c r="C2012" s="1100">
        <v>1.0017992218563339</v>
      </c>
      <c r="D2012" s="1100">
        <v>0.96138332035037521</v>
      </c>
      <c r="E2012" s="1100">
        <v>0.99968187515975615</v>
      </c>
      <c r="F2012" s="1100">
        <v>0.95991115911398395</v>
      </c>
      <c r="G2012" s="1100">
        <v>0.98062482472967871</v>
      </c>
      <c r="H2012" s="1100">
        <v>1.0167103279227192</v>
      </c>
      <c r="I2012" s="1100">
        <v>1.0187629667998377</v>
      </c>
      <c r="K2012">
        <v>1.2786280727143182</v>
      </c>
      <c r="L2012">
        <v>0</v>
      </c>
      <c r="M2012">
        <v>6.2006039279927799E-4</v>
      </c>
      <c r="N2012">
        <v>5.6964929343624592E-2</v>
      </c>
      <c r="O2012">
        <v>7.8709456678961939E-3</v>
      </c>
      <c r="P2012">
        <v>1.5698281710882972E-2</v>
      </c>
      <c r="Q2012">
        <v>4.5556302589842195E-4</v>
      </c>
      <c r="R2012">
        <v>6.1826077378059844E-4</v>
      </c>
      <c r="S2012">
        <v>6.3439180419234242E-2</v>
      </c>
      <c r="T2012">
        <v>0.99100101868794388</v>
      </c>
      <c r="U2012">
        <v>0</v>
      </c>
      <c r="V2012">
        <v>9.6737122926571689E-2</v>
      </c>
      <c r="W2012">
        <v>3.742916332870716E-2</v>
      </c>
      <c r="X2012">
        <v>7.3509652059555166E-3</v>
      </c>
      <c r="Y2012">
        <v>1.6827020166214873E-3</v>
      </c>
    </row>
    <row r="2013" spans="1:25" x14ac:dyDescent="0.25">
      <c r="A2013" s="1096"/>
      <c r="B2013" s="1455">
        <v>1763</v>
      </c>
      <c r="C2013" s="1100">
        <v>1.0094627862533938</v>
      </c>
      <c r="D2013" s="1100">
        <v>1.0107094135498902</v>
      </c>
      <c r="E2013" s="1100">
        <v>0.9972141252839587</v>
      </c>
      <c r="F2013" s="1100">
        <v>0.99220247830016262</v>
      </c>
      <c r="G2013" s="1100">
        <v>1.0234131206132118</v>
      </c>
      <c r="H2013" s="1100">
        <v>0.96983951839679883</v>
      </c>
      <c r="I2013" s="1100">
        <v>1.0320908226132641</v>
      </c>
      <c r="K2013">
        <v>1.3042611807950206</v>
      </c>
      <c r="L2013">
        <v>0</v>
      </c>
      <c r="M2013">
        <v>5.7830597393079461E-4</v>
      </c>
      <c r="N2013">
        <v>5.2726853560491012E-2</v>
      </c>
      <c r="O2013">
        <v>7.6558164532324544E-3</v>
      </c>
      <c r="P2013">
        <v>1.6111501717005518E-2</v>
      </c>
      <c r="Q2013">
        <v>4.4201281444618474E-4</v>
      </c>
      <c r="R2013">
        <v>5.7654642389814569E-4</v>
      </c>
      <c r="S2013">
        <v>6.0635126704741901E-2</v>
      </c>
      <c r="T2013">
        <v>1.0244111910755604</v>
      </c>
      <c r="U2013">
        <v>0</v>
      </c>
      <c r="V2013">
        <v>9.8616515321338277E-2</v>
      </c>
      <c r="W2013">
        <v>3.4695421744635378E-2</v>
      </c>
      <c r="X2013">
        <v>7.3993316462279074E-3</v>
      </c>
      <c r="Y2013">
        <v>1.5691693073731938E-3</v>
      </c>
    </row>
    <row r="2014" spans="1:25" x14ac:dyDescent="0.25">
      <c r="A2014" s="1096"/>
      <c r="B2014" s="1455">
        <v>1764</v>
      </c>
      <c r="C2014" s="1100">
        <v>0.97926933865405097</v>
      </c>
      <c r="D2014" s="1100">
        <v>0.98022887665559355</v>
      </c>
      <c r="E2014" s="1100">
        <v>0.99971312264745393</v>
      </c>
      <c r="F2014" s="1100">
        <v>0.97508656260919735</v>
      </c>
      <c r="G2014" s="1100">
        <v>1.0056055614440675</v>
      </c>
      <c r="H2014" s="1100">
        <v>0.98262972573501806</v>
      </c>
      <c r="I2014" s="1100">
        <v>1.0317086874126433</v>
      </c>
      <c r="K2014">
        <v>1.2952154986158266</v>
      </c>
      <c r="L2014">
        <v>0</v>
      </c>
      <c r="M2014">
        <v>6.0828159358226983E-4</v>
      </c>
      <c r="N2014">
        <v>5.5882445263101869E-2</v>
      </c>
      <c r="O2014">
        <v>7.9897559387710811E-3</v>
      </c>
      <c r="P2014">
        <v>1.5943325895805317E-2</v>
      </c>
      <c r="Q2014">
        <v>4.6245418162102063E-4</v>
      </c>
      <c r="R2014">
        <v>6.0645492989475048E-4</v>
      </c>
      <c r="S2014">
        <v>6.3937854582887824E-2</v>
      </c>
      <c r="T2014">
        <v>1.0066670200264447</v>
      </c>
      <c r="U2014">
        <v>0</v>
      </c>
      <c r="V2014">
        <v>9.8514794344826212E-2</v>
      </c>
      <c r="W2014">
        <v>3.6717228315036821E-2</v>
      </c>
      <c r="X2014">
        <v>7.4518763296583385E-3</v>
      </c>
      <c r="Y2014">
        <v>1.6505704013595997E-3</v>
      </c>
    </row>
    <row r="2015" spans="1:25" x14ac:dyDescent="0.25">
      <c r="A2015" s="1096"/>
      <c r="B2015" s="1455">
        <v>1765</v>
      </c>
      <c r="C2015" s="1100">
        <v>0.98593243018815191</v>
      </c>
      <c r="D2015" s="1100">
        <v>1.0110558203366542</v>
      </c>
      <c r="E2015" s="1100">
        <v>0.99952078053303917</v>
      </c>
      <c r="F2015" s="1100">
        <v>1.004413067899568</v>
      </c>
      <c r="G2015" s="1100">
        <v>0.99352909611510731</v>
      </c>
      <c r="H2015" s="1100">
        <v>0.99440039149841342</v>
      </c>
      <c r="I2015" s="1100">
        <v>0.97455226616024315</v>
      </c>
      <c r="K2015">
        <v>1.3197245823312764</v>
      </c>
      <c r="L2015">
        <v>0</v>
      </c>
      <c r="M2015">
        <v>6.0412286716487573E-4</v>
      </c>
      <c r="N2015">
        <v>5.5470120122114802E-2</v>
      </c>
      <c r="O2015">
        <v>7.8380281654122815E-3</v>
      </c>
      <c r="P2015">
        <v>1.6281019444094762E-2</v>
      </c>
      <c r="Q2015">
        <v>4.5358432082342294E-4</v>
      </c>
      <c r="R2015">
        <v>6.0233016638825841E-4</v>
      </c>
      <c r="S2015">
        <v>5.935062134665485E-2</v>
      </c>
      <c r="T2015">
        <v>1.0369490852866141</v>
      </c>
      <c r="U2015">
        <v>0</v>
      </c>
      <c r="V2015">
        <v>9.7759326884073947E-2</v>
      </c>
      <c r="W2015">
        <v>3.6450480487488376E-2</v>
      </c>
      <c r="X2015">
        <v>7.5347648199537284E-3</v>
      </c>
      <c r="Y2015">
        <v>1.6393441548228529E-3</v>
      </c>
    </row>
    <row r="2016" spans="1:25" x14ac:dyDescent="0.25">
      <c r="A2016" s="1096"/>
      <c r="B2016" s="1455">
        <v>1766</v>
      </c>
      <c r="C2016" s="1100">
        <v>0.96019093474970219</v>
      </c>
      <c r="D2016" s="1100">
        <v>0.98649367130237831</v>
      </c>
      <c r="E2016" s="1100">
        <v>1.0022801697985375</v>
      </c>
      <c r="F2016" s="1100">
        <v>0.95083418307589429</v>
      </c>
      <c r="G2016" s="1100">
        <v>0.99579421101992172</v>
      </c>
      <c r="H2016" s="1100">
        <v>0.97948373000051925</v>
      </c>
      <c r="I2016" s="1100">
        <v>0.98483460300091985</v>
      </c>
      <c r="K2016">
        <v>1.2693684683204356</v>
      </c>
      <c r="L2016">
        <v>0</v>
      </c>
      <c r="M2016">
        <v>6.1353158778733969E-4</v>
      </c>
      <c r="N2016">
        <v>5.680301932813895E-2</v>
      </c>
      <c r="O2016">
        <v>8.128428806285358E-3</v>
      </c>
      <c r="P2016">
        <v>1.5603862733204002E-2</v>
      </c>
      <c r="Q2016">
        <v>4.7169558850091711E-4</v>
      </c>
      <c r="R2016">
        <v>6.1168324073474E-4</v>
      </c>
      <c r="S2016">
        <v>6.1936126466385542E-2</v>
      </c>
      <c r="T2016">
        <v>0.98155659126055972</v>
      </c>
      <c r="U2016">
        <v>0</v>
      </c>
      <c r="V2016">
        <v>9.8545900342078746E-2</v>
      </c>
      <c r="W2016">
        <v>3.7265231386269769E-2</v>
      </c>
      <c r="X2016">
        <v>7.3946606161106234E-3</v>
      </c>
      <c r="Y2016">
        <v>1.6648001399538464E-3</v>
      </c>
    </row>
    <row r="2017" spans="1:25" x14ac:dyDescent="0.25">
      <c r="A2017" s="1096"/>
      <c r="B2017" s="1455">
        <v>1767</v>
      </c>
      <c r="C2017" s="1100">
        <v>0.99233470184532024</v>
      </c>
      <c r="D2017" s="1100">
        <v>0.99356920165419116</v>
      </c>
      <c r="E2017" s="1100">
        <v>1.0041886142540852</v>
      </c>
      <c r="F2017" s="1100">
        <v>1.0279397611649292</v>
      </c>
      <c r="G2017" s="1100">
        <v>1.0068190239029968</v>
      </c>
      <c r="H2017" s="1100">
        <v>1.0034421581603985</v>
      </c>
      <c r="I2017" s="1100">
        <v>1.0082087631388235</v>
      </c>
      <c r="K2017">
        <v>1.348703121485604</v>
      </c>
      <c r="L2017">
        <v>0</v>
      </c>
      <c r="M2017">
        <v>6.0404575656436475E-4</v>
      </c>
      <c r="N2017">
        <v>5.6252150941448531E-2</v>
      </c>
      <c r="O2017">
        <v>7.8431536749620796E-3</v>
      </c>
      <c r="P2017">
        <v>1.6709137464289332E-2</v>
      </c>
      <c r="Q2017">
        <v>4.5601335622959526E-4</v>
      </c>
      <c r="R2017">
        <v>6.0226943612622704E-4</v>
      </c>
      <c r="S2017">
        <v>6.186392877604769E-2</v>
      </c>
      <c r="T2017">
        <v>1.0610953249192181</v>
      </c>
      <c r="U2017">
        <v>0</v>
      </c>
      <c r="V2017">
        <v>9.8245314704881945E-2</v>
      </c>
      <c r="W2017">
        <v>3.6862109184482267E-2</v>
      </c>
      <c r="X2017">
        <v>7.7385859174134803E-3</v>
      </c>
      <c r="Y2017">
        <v>1.6391788670693293E-3</v>
      </c>
    </row>
    <row r="2018" spans="1:25" x14ac:dyDescent="0.25">
      <c r="A2018" s="1096"/>
      <c r="B2018" s="1455">
        <v>1768</v>
      </c>
      <c r="C2018" s="1100">
        <v>1.0125187802777003</v>
      </c>
      <c r="D2018" s="1100">
        <v>1.013715177141109</v>
      </c>
      <c r="E2018" s="1100">
        <v>0.96283043526646284</v>
      </c>
      <c r="F2018" s="1100">
        <v>1.0236478655199319</v>
      </c>
      <c r="G2018" s="1100">
        <v>0.95977043645534754</v>
      </c>
      <c r="H2018" s="1100">
        <v>1.0207443613215619</v>
      </c>
      <c r="I2018" s="1100">
        <v>1.0101706057928714</v>
      </c>
      <c r="K2018">
        <v>1.3363068935504998</v>
      </c>
      <c r="L2018">
        <v>0</v>
      </c>
      <c r="M2018">
        <v>6.507639323724329E-4</v>
      </c>
      <c r="N2018">
        <v>5.3478926640927411E-2</v>
      </c>
      <c r="O2018">
        <v>7.615384935333749E-3</v>
      </c>
      <c r="P2018">
        <v>1.6097723995095639E-2</v>
      </c>
      <c r="Q2018">
        <v>4.245780558393524E-4</v>
      </c>
      <c r="R2018">
        <v>6.4888266595205992E-4</v>
      </c>
      <c r="S2018">
        <v>6.0582514188521674E-2</v>
      </c>
      <c r="T2018">
        <v>1.0579460153479248</v>
      </c>
      <c r="U2018">
        <v>0</v>
      </c>
      <c r="V2018">
        <v>9.5426192004219021E-2</v>
      </c>
      <c r="W2018">
        <v>3.5928564638486128E-2</v>
      </c>
      <c r="X2018">
        <v>7.0428302979616102E-3</v>
      </c>
      <c r="Y2018">
        <v>1.7660447126081641E-3</v>
      </c>
    </row>
    <row r="2019" spans="1:25" x14ac:dyDescent="0.25">
      <c r="A2019" s="1096"/>
      <c r="B2019" s="1455">
        <v>1769</v>
      </c>
      <c r="C2019" s="1100">
        <v>0.96093975798727804</v>
      </c>
      <c r="D2019" s="1100">
        <v>1.0224655519181536</v>
      </c>
      <c r="E2019" s="1100">
        <v>0.99913764369399694</v>
      </c>
      <c r="F2019" s="1100">
        <v>1.0109512747507998</v>
      </c>
      <c r="G2019" s="1100">
        <v>1.0206737678032471</v>
      </c>
      <c r="H2019" s="1100">
        <v>0.98131287561819058</v>
      </c>
      <c r="I2019" s="1100">
        <v>0.96990518558227257</v>
      </c>
      <c r="K2019">
        <v>1.3300315859079714</v>
      </c>
      <c r="L2019">
        <v>0</v>
      </c>
      <c r="M2019">
        <v>6.0942206062149131E-4</v>
      </c>
      <c r="N2019">
        <v>5.5889731868874047E-2</v>
      </c>
      <c r="O2019">
        <v>8.0057703342402003E-3</v>
      </c>
      <c r="P2019">
        <v>1.6402017542251981E-2</v>
      </c>
      <c r="Q2019">
        <v>4.6311305417647794E-4</v>
      </c>
      <c r="R2019">
        <v>6.0758951627765275E-4</v>
      </c>
      <c r="S2019">
        <v>5.9840126033677478E-2</v>
      </c>
      <c r="T2019">
        <v>1.04371062142924</v>
      </c>
      <c r="U2019">
        <v>0</v>
      </c>
      <c r="V2019">
        <v>9.9725820387563349E-2</v>
      </c>
      <c r="W2019">
        <v>3.6734583933397534E-2</v>
      </c>
      <c r="X2019">
        <v>7.607975497417028E-3</v>
      </c>
      <c r="Y2019">
        <v>1.65365837147756E-3</v>
      </c>
    </row>
    <row r="2020" spans="1:25" x14ac:dyDescent="0.25">
      <c r="A2020" s="1096"/>
      <c r="B2020" s="1455">
        <v>1770</v>
      </c>
      <c r="C2020" s="1100">
        <v>0.98457115917791094</v>
      </c>
      <c r="D2020" s="1100">
        <v>1.0249043413956607</v>
      </c>
      <c r="E2020" s="1100">
        <v>1.0118860646892931</v>
      </c>
      <c r="F2020" s="1100">
        <v>1.0207879693886122</v>
      </c>
      <c r="G2020" s="1100">
        <v>0.9606373274782759</v>
      </c>
      <c r="H2020" s="1100">
        <v>0.97392652958870451</v>
      </c>
      <c r="I2020" s="1100">
        <v>0.96400920776380772</v>
      </c>
      <c r="K2020">
        <v>1.3321193516790062</v>
      </c>
      <c r="L2020">
        <v>0</v>
      </c>
      <c r="M2020">
        <v>5.7435148576810778E-4</v>
      </c>
      <c r="N2020">
        <v>5.4739656597515049E-2</v>
      </c>
      <c r="O2020">
        <v>7.8093256990097873E-3</v>
      </c>
      <c r="P2020">
        <v>1.6615585272050107E-2</v>
      </c>
      <c r="Q2020">
        <v>4.5755757973996278E-4</v>
      </c>
      <c r="R2020">
        <v>5.7261130096724938E-4</v>
      </c>
      <c r="S2020">
        <v>5.7767833670137832E-2</v>
      </c>
      <c r="T2020">
        <v>1.0534808577460901</v>
      </c>
      <c r="U2020">
        <v>0</v>
      </c>
      <c r="V2020">
        <v>9.6216635072745527E-2</v>
      </c>
      <c r="W2020">
        <v>3.5708268972111018E-2</v>
      </c>
      <c r="X2020">
        <v>7.766912054439138E-3</v>
      </c>
      <c r="Y2020">
        <v>1.5584591999682203E-3</v>
      </c>
    </row>
    <row r="2021" spans="1:25" x14ac:dyDescent="0.25">
      <c r="A2021" s="1096"/>
      <c r="B2021" s="1455">
        <v>1771</v>
      </c>
      <c r="C2021" s="1100">
        <v>1.0232698606632451</v>
      </c>
      <c r="D2021" s="1100">
        <v>1.0029972232475508</v>
      </c>
      <c r="E2021" s="1100">
        <v>1.040359790160861</v>
      </c>
      <c r="F2021" s="1100">
        <v>1.0176522529863583</v>
      </c>
      <c r="G2021" s="1100">
        <v>0.98280921699651158</v>
      </c>
      <c r="H2021" s="1100">
        <v>0.99082137366345768</v>
      </c>
      <c r="I2021" s="1100">
        <v>0.99035268173746394</v>
      </c>
      <c r="K2021">
        <v>1.3297217702662107</v>
      </c>
      <c r="L2021">
        <v>0</v>
      </c>
      <c r="M2021">
        <v>5.3444664580384372E-4</v>
      </c>
      <c r="N2021">
        <v>5.5506001376887742E-2</v>
      </c>
      <c r="O2021">
        <v>7.5860587539111164E-3</v>
      </c>
      <c r="P2021">
        <v>1.6916359746407397E-2</v>
      </c>
      <c r="Q2021">
        <v>4.5719434260102845E-4</v>
      </c>
      <c r="R2021">
        <v>5.328549766213357E-4</v>
      </c>
      <c r="S2021">
        <v>5.8295033793766694E-2</v>
      </c>
      <c r="T2021">
        <v>1.049404684795294</v>
      </c>
      <c r="U2021">
        <v>0</v>
      </c>
      <c r="V2021">
        <v>9.6368882738685838E-2</v>
      </c>
      <c r="W2021">
        <v>3.5612827068362649E-2</v>
      </c>
      <c r="X2021">
        <v>8.1260637287090161E-3</v>
      </c>
      <c r="Y2021">
        <v>1.4502555907674412E-3</v>
      </c>
    </row>
    <row r="2022" spans="1:25" x14ac:dyDescent="0.25">
      <c r="A2022" s="1096"/>
      <c r="B2022" s="1455">
        <v>1772</v>
      </c>
      <c r="C2022" s="1100">
        <v>1.0361753126855717</v>
      </c>
      <c r="D2022" s="1100">
        <v>1.0043349918624513</v>
      </c>
      <c r="E2022" s="1100">
        <v>0.99843991705341084</v>
      </c>
      <c r="F2022" s="1100">
        <v>0.98015342052508547</v>
      </c>
      <c r="G2022" s="1100">
        <v>0.97911751952786708</v>
      </c>
      <c r="H2022" s="1100">
        <v>1.0216742626364941</v>
      </c>
      <c r="I2022" s="1100">
        <v>1.0236833627548798</v>
      </c>
      <c r="K2022">
        <v>1.2909231097300735</v>
      </c>
      <c r="L2022">
        <v>0</v>
      </c>
      <c r="M2022">
        <v>5.9350245625938009E-4</v>
      </c>
      <c r="N2022">
        <v>5.4321599891775679E-2</v>
      </c>
      <c r="O2022">
        <v>7.477639146333071E-3</v>
      </c>
      <c r="P2022">
        <v>1.5914645953373975E-2</v>
      </c>
      <c r="Q2022">
        <v>4.3225856428098168E-4</v>
      </c>
      <c r="R2022">
        <v>5.917882862759811E-4</v>
      </c>
      <c r="S2022">
        <v>6.0352733541492766E-2</v>
      </c>
      <c r="T2022">
        <v>1.0119351592755912</v>
      </c>
      <c r="U2022">
        <v>0</v>
      </c>
      <c r="V2022">
        <v>9.5842129762812311E-2</v>
      </c>
      <c r="W2022">
        <v>3.5718722827060297E-2</v>
      </c>
      <c r="X2022">
        <v>7.3192823050483797E-3</v>
      </c>
      <c r="Y2022">
        <v>1.6106526322870792E-3</v>
      </c>
    </row>
    <row r="2023" spans="1:25" x14ac:dyDescent="0.25">
      <c r="A2023" s="1096"/>
      <c r="B2023" s="1455">
        <v>1773</v>
      </c>
      <c r="C2023" s="1100">
        <v>1.0338940337927178</v>
      </c>
      <c r="D2023" s="1100">
        <v>0.96092327075917194</v>
      </c>
      <c r="E2023" s="1100">
        <v>0.99558595272639439</v>
      </c>
      <c r="F2023" s="1100">
        <v>0.9932472499378433</v>
      </c>
      <c r="G2023" s="1100">
        <v>0.9721565140659415</v>
      </c>
      <c r="H2023" s="1100">
        <v>0.98940288065687532</v>
      </c>
      <c r="I2023" s="1100">
        <v>0.99302729612070528</v>
      </c>
      <c r="K2023">
        <v>1.3020354579047411</v>
      </c>
      <c r="L2023">
        <v>0</v>
      </c>
      <c r="M2023">
        <v>5.8977482520150115E-4</v>
      </c>
      <c r="N2023">
        <v>5.3511820811015104E-2</v>
      </c>
      <c r="O2023">
        <v>7.6270832086426281E-3</v>
      </c>
      <c r="P2023">
        <v>1.6044880730328878E-2</v>
      </c>
      <c r="Q2023">
        <v>4.396323528282026E-4</v>
      </c>
      <c r="R2023">
        <v>5.8801586149550438E-4</v>
      </c>
      <c r="S2023">
        <v>5.911476194671924E-2</v>
      </c>
      <c r="T2023">
        <v>1.0255381869329192</v>
      </c>
      <c r="U2023">
        <v>0</v>
      </c>
      <c r="V2023">
        <v>9.5555036265980053E-2</v>
      </c>
      <c r="W2023">
        <v>3.5246135434740963E-2</v>
      </c>
      <c r="X2023">
        <v>7.3592938496575225E-3</v>
      </c>
      <c r="Y2023">
        <v>1.6003853356141168E-3</v>
      </c>
    </row>
    <row r="2024" spans="1:25" x14ac:dyDescent="0.25">
      <c r="A2024" s="1096"/>
      <c r="B2024" s="1455">
        <v>1774</v>
      </c>
      <c r="C2024" s="1100">
        <v>1.036921112143562</v>
      </c>
      <c r="D2024" s="1100">
        <v>0.99694111326141976</v>
      </c>
      <c r="E2024" s="1100">
        <v>0.97432262418237936</v>
      </c>
      <c r="F2024" s="1100">
        <v>0.97682074865457791</v>
      </c>
      <c r="G2024" s="1100">
        <v>1.0063086859554808</v>
      </c>
      <c r="H2024" s="1100">
        <v>0.97597556070185265</v>
      </c>
      <c r="I2024" s="1100">
        <v>1.0035220653872252</v>
      </c>
      <c r="K2024">
        <v>1.281075320407056</v>
      </c>
      <c r="L2024">
        <v>0</v>
      </c>
      <c r="M2024">
        <v>5.9731035499267565E-4</v>
      </c>
      <c r="N2024">
        <v>5.0817727863332253E-2</v>
      </c>
      <c r="O2024">
        <v>7.4886752406389265E-3</v>
      </c>
      <c r="P2024">
        <v>1.557612596971146E-2</v>
      </c>
      <c r="Q2024">
        <v>4.2245059451174853E-4</v>
      </c>
      <c r="R2024">
        <v>5.9550440833069614E-4</v>
      </c>
      <c r="S2024">
        <v>5.7981054924312277E-2</v>
      </c>
      <c r="T2024">
        <v>1.0092052224897661</v>
      </c>
      <c r="U2024">
        <v>0</v>
      </c>
      <c r="V2024">
        <v>9.7113869675611503E-2</v>
      </c>
      <c r="W2024">
        <v>3.3902466359665415E-2</v>
      </c>
      <c r="X2024">
        <v>6.9487665446676351E-3</v>
      </c>
      <c r="Y2024">
        <v>1.6207666915007081E-3</v>
      </c>
    </row>
    <row r="2025" spans="1:25" x14ac:dyDescent="0.25">
      <c r="A2025" s="1096"/>
      <c r="B2025" s="1455">
        <v>1775</v>
      </c>
      <c r="C2025" s="1100">
        <v>1.0097134730978505</v>
      </c>
      <c r="D2025" s="1100">
        <v>1.0252964431468585</v>
      </c>
      <c r="E2025" s="1100">
        <v>0.98352910459504572</v>
      </c>
      <c r="F2025" s="1100">
        <v>1.01117393327893</v>
      </c>
      <c r="G2025" s="1100">
        <v>0.97179175555882202</v>
      </c>
      <c r="H2025" s="1100">
        <v>0.98536132589984582</v>
      </c>
      <c r="I2025" s="1100">
        <v>1.0303699467356</v>
      </c>
      <c r="K2025">
        <v>1.321595878125065</v>
      </c>
      <c r="L2025">
        <v>0</v>
      </c>
      <c r="M2025">
        <v>6.0084984256219859E-4</v>
      </c>
      <c r="N2025">
        <v>5.2564461651181067E-2</v>
      </c>
      <c r="O2025">
        <v>7.6068821633233658E-3</v>
      </c>
      <c r="P2025">
        <v>1.6180389650557576E-2</v>
      </c>
      <c r="Q2025">
        <v>4.3315560811897587E-4</v>
      </c>
      <c r="R2025">
        <v>5.99050498325131E-4</v>
      </c>
      <c r="S2025">
        <v>6.0519792327806458E-2</v>
      </c>
      <c r="T2025">
        <v>1.0444143583734045</v>
      </c>
      <c r="U2025">
        <v>0</v>
      </c>
      <c r="V2025">
        <v>9.6098149900184768E-2</v>
      </c>
      <c r="W2025">
        <v>3.4873210145013253E-2</v>
      </c>
      <c r="X2025">
        <v>7.2768596702143477E-3</v>
      </c>
      <c r="Y2025">
        <v>1.6304179794973067E-3</v>
      </c>
    </row>
    <row r="2026" spans="1:25" x14ac:dyDescent="0.25">
      <c r="A2026" s="1096"/>
      <c r="B2026" s="1455">
        <v>1776</v>
      </c>
      <c r="C2026" s="1100">
        <v>0.98038538043752221</v>
      </c>
      <c r="D2026" s="1100">
        <v>1.0365814483836406</v>
      </c>
      <c r="E2026" s="1100">
        <v>1.0048270795588705</v>
      </c>
      <c r="F2026" s="1100">
        <v>1.0286316138571521</v>
      </c>
      <c r="G2026" s="1100">
        <v>0.99232614844737788</v>
      </c>
      <c r="H2026" s="1100">
        <v>0.98127975034443904</v>
      </c>
      <c r="I2026" s="1100">
        <v>1.0081381500912163</v>
      </c>
      <c r="K2026">
        <v>1.345093500895836</v>
      </c>
      <c r="L2026">
        <v>0</v>
      </c>
      <c r="M2026">
        <v>5.8707554547159796E-4</v>
      </c>
      <c r="N2026">
        <v>5.4773665707093709E-2</v>
      </c>
      <c r="O2026">
        <v>7.8054640268990037E-3</v>
      </c>
      <c r="P2026">
        <v>1.6702784124760686E-2</v>
      </c>
      <c r="Q2026">
        <v>4.5411263849689008E-4</v>
      </c>
      <c r="R2026">
        <v>5.8531013795321289E-4</v>
      </c>
      <c r="S2026">
        <v>6.0522751090409402E-2</v>
      </c>
      <c r="T2026">
        <v>1.0617900329599264</v>
      </c>
      <c r="U2026">
        <v>0</v>
      </c>
      <c r="V2026">
        <v>9.7849309949994315E-2</v>
      </c>
      <c r="W2026">
        <v>3.5879686407607338E-2</v>
      </c>
      <c r="X2026">
        <v>7.7244381500922677E-3</v>
      </c>
      <c r="Y2026">
        <v>1.5930212480735251E-3</v>
      </c>
    </row>
    <row r="2027" spans="1:25" x14ac:dyDescent="0.25">
      <c r="A2027" s="1096"/>
      <c r="B2027" s="1455">
        <v>1777</v>
      </c>
      <c r="C2027" s="1100">
        <v>0.9857090831338795</v>
      </c>
      <c r="D2027" s="1100">
        <v>0.99001002668004956</v>
      </c>
      <c r="E2027" s="1100">
        <v>0.96047661775601922</v>
      </c>
      <c r="F2027" s="1100">
        <v>1.0034940712322817</v>
      </c>
      <c r="G2027" s="1100">
        <v>1.0313864150112129</v>
      </c>
      <c r="H2027" s="1100">
        <v>0.99140350179917491</v>
      </c>
      <c r="I2027" s="1100">
        <v>0.97874546311957245</v>
      </c>
      <c r="K2027">
        <v>1.3197442680273608</v>
      </c>
      <c r="L2027">
        <v>0</v>
      </c>
      <c r="M2027">
        <v>6.5861153646565198E-4</v>
      </c>
      <c r="N2027">
        <v>5.373461166053381E-2</v>
      </c>
      <c r="O2027">
        <v>7.8963168642388806E-3</v>
      </c>
      <c r="P2027">
        <v>1.5842908483182545E-2</v>
      </c>
      <c r="Q2027">
        <v>4.3917797438706513E-4</v>
      </c>
      <c r="R2027">
        <v>6.5665123572737963E-4</v>
      </c>
      <c r="S2027">
        <v>6.016739702805337E-2</v>
      </c>
      <c r="T2027">
        <v>1.0371899716703812</v>
      </c>
      <c r="U2027">
        <v>0</v>
      </c>
      <c r="V2027">
        <v>9.9552614781536583E-2</v>
      </c>
      <c r="W2027">
        <v>3.6152440205448257E-2</v>
      </c>
      <c r="X2027">
        <v>6.9836014617095151E-3</v>
      </c>
      <c r="Y2027">
        <v>1.7871881986282459E-3</v>
      </c>
    </row>
    <row r="2028" spans="1:25" x14ac:dyDescent="0.25">
      <c r="A2028" s="1096"/>
      <c r="B2028" s="1455">
        <v>1778</v>
      </c>
      <c r="C2028" s="1100">
        <v>0.9749713660765198</v>
      </c>
      <c r="D2028" s="1100">
        <v>0.95759728746595774</v>
      </c>
      <c r="E2028" s="1100">
        <v>0.98074058886181281</v>
      </c>
      <c r="F2028" s="1100">
        <v>0.96620109959521971</v>
      </c>
      <c r="G2028" s="1100">
        <v>1.0364944104148373</v>
      </c>
      <c r="H2028" s="1100">
        <v>1.0019080491881338</v>
      </c>
      <c r="I2028" s="1100">
        <v>1.0274753160675356</v>
      </c>
      <c r="K2028">
        <v>1.2911019077814549</v>
      </c>
      <c r="L2028">
        <v>0</v>
      </c>
      <c r="M2028">
        <v>6.5399771231408642E-4</v>
      </c>
      <c r="N2028">
        <v>5.6736224244118616E-2</v>
      </c>
      <c r="O2028">
        <v>8.0954572712445445E-3</v>
      </c>
      <c r="P2028">
        <v>1.5642032943703053E-2</v>
      </c>
      <c r="Q2028">
        <v>4.5967321998579078E-4</v>
      </c>
      <c r="R2028">
        <v>6.520715531031689E-4</v>
      </c>
      <c r="S2028">
        <v>6.5376958895429008E-2</v>
      </c>
      <c r="T2028">
        <v>0.99804476116071494</v>
      </c>
      <c r="U2028">
        <v>0</v>
      </c>
      <c r="V2028">
        <v>0.10009915968346442</v>
      </c>
      <c r="W2028">
        <v>3.7704236678817303E-2</v>
      </c>
      <c r="X2028">
        <v>7.1706060309712633E-3</v>
      </c>
      <c r="Y2028">
        <v>1.7747238122171158E-3</v>
      </c>
    </row>
    <row r="2029" spans="1:25" x14ac:dyDescent="0.25">
      <c r="A2029" s="1096"/>
      <c r="B2029" s="1455">
        <v>1779</v>
      </c>
      <c r="C2029" s="1100">
        <v>0.99018568243367189</v>
      </c>
      <c r="D2029" s="1100">
        <v>0.9804841543790459</v>
      </c>
      <c r="E2029" s="1100">
        <v>0.99235450987346385</v>
      </c>
      <c r="F2029" s="1100">
        <v>0.97946472157074616</v>
      </c>
      <c r="G2029" s="1100">
        <v>1.0013555042698339</v>
      </c>
      <c r="H2029" s="1100">
        <v>0.99975229180799507</v>
      </c>
      <c r="I2029" s="1100">
        <v>0.99996540084754326</v>
      </c>
      <c r="K2029">
        <v>1.2971684601481137</v>
      </c>
      <c r="L2029">
        <v>0</v>
      </c>
      <c r="M2029">
        <v>6.2140171852926251E-4</v>
      </c>
      <c r="N2029">
        <v>5.583513245658004E-2</v>
      </c>
      <c r="O2029">
        <v>7.8990120162493269E-3</v>
      </c>
      <c r="P2029">
        <v>1.5884297339437407E-2</v>
      </c>
      <c r="Q2029">
        <v>4.5382513861321605E-4</v>
      </c>
      <c r="R2029">
        <v>6.1956761494334604E-4</v>
      </c>
      <c r="S2029">
        <v>6.1803700804113799E-2</v>
      </c>
      <c r="T2029">
        <v>1.0114023602785889</v>
      </c>
      <c r="U2029">
        <v>0</v>
      </c>
      <c r="V2029">
        <v>9.802195713886673E-2</v>
      </c>
      <c r="W2029">
        <v>3.6847447894521934E-2</v>
      </c>
      <c r="X2029">
        <v>7.3363023772610612E-3</v>
      </c>
      <c r="Y2029">
        <v>1.6862588074664127E-3</v>
      </c>
    </row>
    <row r="2030" spans="1:25" x14ac:dyDescent="0.25">
      <c r="A2030" s="1096"/>
      <c r="B2030" s="1455">
        <v>1780</v>
      </c>
      <c r="C2030" s="1100">
        <v>1.0002769589122038</v>
      </c>
      <c r="D2030" s="1100">
        <v>1.0206456794994005</v>
      </c>
      <c r="E2030" s="1100">
        <v>0.98605040032193503</v>
      </c>
      <c r="F2030" s="1100">
        <v>1.0264839018117713</v>
      </c>
      <c r="G2030" s="1100">
        <v>0.98061963089363957</v>
      </c>
      <c r="H2030" s="1100">
        <v>0.99164448859530363</v>
      </c>
      <c r="I2030" s="1100">
        <v>0.97283576081444267</v>
      </c>
      <c r="K2030">
        <v>1.3376449176916279</v>
      </c>
      <c r="L2030">
        <v>0</v>
      </c>
      <c r="M2030">
        <v>6.0831452621218634E-4</v>
      </c>
      <c r="N2030">
        <v>5.3625901565261591E-2</v>
      </c>
      <c r="O2030">
        <v>7.6932335440579851E-3</v>
      </c>
      <c r="P2030">
        <v>1.6398654451768403E-2</v>
      </c>
      <c r="Q2030">
        <v>4.3919374828572288E-4</v>
      </c>
      <c r="R2030">
        <v>6.0650437021633221E-4</v>
      </c>
      <c r="S2030">
        <v>5.8007811040300998E-2</v>
      </c>
      <c r="T2030">
        <v>1.0601494033746521</v>
      </c>
      <c r="U2030">
        <v>0</v>
      </c>
      <c r="V2030">
        <v>9.6759437855891764E-2</v>
      </c>
      <c r="W2030">
        <v>3.5523491058770632E-2</v>
      </c>
      <c r="X2030">
        <v>7.39889624701787E-3</v>
      </c>
      <c r="Y2030">
        <v>1.650704961616948E-3</v>
      </c>
    </row>
    <row r="2031" spans="1:25" x14ac:dyDescent="0.25">
      <c r="A2031" s="1096"/>
      <c r="B2031" s="1455">
        <v>1781</v>
      </c>
      <c r="C2031" s="1100">
        <v>0.97802833200202954</v>
      </c>
      <c r="D2031" s="1100">
        <v>1.0007468172100382</v>
      </c>
      <c r="E2031" s="1100">
        <v>0.98711354907997428</v>
      </c>
      <c r="F2031" s="1100">
        <v>1.0088821580935796</v>
      </c>
      <c r="G2031" s="1100">
        <v>1.0218164795547648</v>
      </c>
      <c r="H2031" s="1100">
        <v>1.0255861536331732</v>
      </c>
      <c r="I2031" s="1100">
        <v>0.99484604194475734</v>
      </c>
      <c r="K2031">
        <v>1.3325704303979677</v>
      </c>
      <c r="L2031">
        <v>0</v>
      </c>
      <c r="M2031">
        <v>6.4710944703121954E-4</v>
      </c>
      <c r="N2031">
        <v>5.7235223755196775E-2</v>
      </c>
      <c r="O2031">
        <v>7.9307203537776084E-3</v>
      </c>
      <c r="P2031">
        <v>1.6259338250816827E-2</v>
      </c>
      <c r="Q2031">
        <v>4.5323918106757389E-4</v>
      </c>
      <c r="R2031">
        <v>6.4524757679415882E-4</v>
      </c>
      <c r="S2031">
        <v>6.2368813533919154E-2</v>
      </c>
      <c r="T2031">
        <v>1.0419380213471672</v>
      </c>
      <c r="U2031">
        <v>0</v>
      </c>
      <c r="V2031">
        <v>9.9316916213591275E-2</v>
      </c>
      <c r="W2031">
        <v>3.7890215065352881E-2</v>
      </c>
      <c r="X2031">
        <v>7.4236533690890142E-3</v>
      </c>
      <c r="Y2031">
        <v>1.7561511982271763E-3</v>
      </c>
    </row>
    <row r="2032" spans="1:25" x14ac:dyDescent="0.25">
      <c r="A2032" s="1096"/>
      <c r="B2032" s="1455">
        <v>1782</v>
      </c>
      <c r="C2032" s="1100">
        <v>1.0322882615402935</v>
      </c>
      <c r="D2032" s="1100">
        <v>0.99771268188277451</v>
      </c>
      <c r="E2032" s="1100">
        <v>1.0198083612993576</v>
      </c>
      <c r="F2032" s="1100">
        <v>0.95700412798995538</v>
      </c>
      <c r="G2032" s="1100">
        <v>1.0135465796732457</v>
      </c>
      <c r="H2032" s="1100">
        <v>0.98891607379006552</v>
      </c>
      <c r="I2032" s="1100">
        <v>0.9935177867821493</v>
      </c>
      <c r="K2032">
        <v>1.2649637276752992</v>
      </c>
      <c r="L2032">
        <v>0</v>
      </c>
      <c r="M2032">
        <v>5.530622234780052E-4</v>
      </c>
      <c r="N2032">
        <v>5.3988474742691493E-2</v>
      </c>
      <c r="O2032">
        <v>7.5307774593454928E-3</v>
      </c>
      <c r="P2032">
        <v>1.5822062867983058E-2</v>
      </c>
      <c r="Q2032">
        <v>4.4473399691626205E-4</v>
      </c>
      <c r="R2032">
        <v>5.5141194066116173E-4</v>
      </c>
      <c r="S2032">
        <v>5.8059698451761933E-2</v>
      </c>
      <c r="T2032">
        <v>0.9874321065255266</v>
      </c>
      <c r="U2032">
        <v>0</v>
      </c>
      <c r="V2032">
        <v>9.7621499719125593E-2</v>
      </c>
      <c r="W2032">
        <v>3.5054861639648424E-2</v>
      </c>
      <c r="X2032">
        <v>7.5104010255334416E-3</v>
      </c>
      <c r="Y2032">
        <v>1.5007615295822955E-3</v>
      </c>
    </row>
    <row r="2033" spans="1:25" x14ac:dyDescent="0.25">
      <c r="A2033" s="1096"/>
      <c r="B2033" s="1455">
        <v>1783</v>
      </c>
      <c r="C2033" s="1100">
        <v>1.0219026892014667</v>
      </c>
      <c r="D2033" s="1100">
        <v>1.0165394588283712</v>
      </c>
      <c r="E2033" s="1100">
        <v>1.035685897388362</v>
      </c>
      <c r="F2033" s="1100">
        <v>0.99399128318271623</v>
      </c>
      <c r="G2033" s="1100">
        <v>0.99766310913554479</v>
      </c>
      <c r="H2033" s="1100">
        <v>0.97867045477834136</v>
      </c>
      <c r="I2033" s="1100">
        <v>1.0113426404272561</v>
      </c>
      <c r="K2033">
        <v>1.3043198979443957</v>
      </c>
      <c r="L2033">
        <v>0</v>
      </c>
      <c r="M2033">
        <v>5.3092242766107699E-4</v>
      </c>
      <c r="N2033">
        <v>5.4366957374594058E-2</v>
      </c>
      <c r="O2033">
        <v>7.5544448871526461E-3</v>
      </c>
      <c r="P2033">
        <v>1.6537374469639061E-2</v>
      </c>
      <c r="Q2033">
        <v>4.5319917741634924E-4</v>
      </c>
      <c r="R2033">
        <v>5.2932162273388087E-4</v>
      </c>
      <c r="S2033">
        <v>5.8813197103470535E-2</v>
      </c>
      <c r="T2033">
        <v>1.025138504218682</v>
      </c>
      <c r="U2033">
        <v>0</v>
      </c>
      <c r="V2033">
        <v>9.7114837034344023E-2</v>
      </c>
      <c r="W2033">
        <v>3.4976184097643311E-2</v>
      </c>
      <c r="X2033">
        <v>7.9261614201266428E-3</v>
      </c>
      <c r="Y2033">
        <v>1.4406389662555848E-3</v>
      </c>
    </row>
    <row r="2034" spans="1:25" x14ac:dyDescent="0.25">
      <c r="A2034" s="1096"/>
      <c r="B2034" s="1455">
        <v>1784</v>
      </c>
      <c r="C2034" s="1100">
        <v>0.98688236295825005</v>
      </c>
      <c r="D2034" s="1100">
        <v>1.0383438659983864</v>
      </c>
      <c r="E2034" s="1100">
        <v>1.0105343515692373</v>
      </c>
      <c r="F2034" s="1100">
        <v>1.016244303435754</v>
      </c>
      <c r="G2034" s="1100">
        <v>0.98475689160021451</v>
      </c>
      <c r="H2034" s="1100">
        <v>1.0112895349543591</v>
      </c>
      <c r="I2034" s="1100">
        <v>0.97996781537717781</v>
      </c>
      <c r="K2034">
        <v>1.3327043673724535</v>
      </c>
      <c r="L2034">
        <v>0</v>
      </c>
      <c r="M2034">
        <v>5.9356112337418505E-4</v>
      </c>
      <c r="N2034">
        <v>5.6346430333463975E-2</v>
      </c>
      <c r="O2034">
        <v>7.7502108842632438E-3</v>
      </c>
      <c r="P2034">
        <v>1.6571294287234861E-2</v>
      </c>
      <c r="Q2034">
        <v>4.5348121357976682E-4</v>
      </c>
      <c r="R2034">
        <v>5.9182917974200284E-4</v>
      </c>
      <c r="S2034">
        <v>5.9292885317302715E-2</v>
      </c>
      <c r="T2034">
        <v>1.0488321006523358</v>
      </c>
      <c r="U2034">
        <v>0</v>
      </c>
      <c r="V2034">
        <v>9.7323080404305012E-2</v>
      </c>
      <c r="W2034">
        <v>3.6785695462955272E-2</v>
      </c>
      <c r="X2034">
        <v>7.7401568298238101E-3</v>
      </c>
      <c r="Y2034">
        <v>1.6107639308210633E-3</v>
      </c>
    </row>
    <row r="2035" spans="1:25" x14ac:dyDescent="0.25">
      <c r="A2035" s="1096"/>
      <c r="B2035" s="1455">
        <v>1785</v>
      </c>
      <c r="C2035" s="1100">
        <v>0.9930862004197567</v>
      </c>
      <c r="D2035" s="1100">
        <v>1.0176131400643142</v>
      </c>
      <c r="E2035" s="1100">
        <v>0.98312507511491709</v>
      </c>
      <c r="F2035" s="1100">
        <v>0.98866714356391217</v>
      </c>
      <c r="G2035" s="1100">
        <v>0.98081456849964577</v>
      </c>
      <c r="H2035" s="1100">
        <v>0.99430153955691825</v>
      </c>
      <c r="I2035" s="1100">
        <v>1.0180436083712292</v>
      </c>
      <c r="K2035">
        <v>1.3023663753441641</v>
      </c>
      <c r="L2035">
        <v>0</v>
      </c>
      <c r="M2035">
        <v>6.1882731449170564E-4</v>
      </c>
      <c r="N2035">
        <v>5.407253083741298E-2</v>
      </c>
      <c r="O2035">
        <v>7.7574512202123027E-3</v>
      </c>
      <c r="P2035">
        <v>1.5884738664670571E-2</v>
      </c>
      <c r="Q2035">
        <v>4.4154837510663715E-4</v>
      </c>
      <c r="R2035">
        <v>6.1699079652545181E-4</v>
      </c>
      <c r="S2035">
        <v>6.1320338940974807E-2</v>
      </c>
      <c r="T2035">
        <v>1.02117978925375</v>
      </c>
      <c r="U2035">
        <v>0</v>
      </c>
      <c r="V2035">
        <v>9.6944991702543268E-2</v>
      </c>
      <c r="W2035">
        <v>3.5882448941758398E-2</v>
      </c>
      <c r="X2035">
        <v>7.2051283685193746E-3</v>
      </c>
      <c r="Y2035">
        <v>1.6792455571808679E-3</v>
      </c>
    </row>
    <row r="2036" spans="1:25" x14ac:dyDescent="0.25">
      <c r="A2036" s="1096"/>
      <c r="B2036" s="1455">
        <v>1786</v>
      </c>
      <c r="C2036" s="1100">
        <v>0.98338832642269047</v>
      </c>
      <c r="D2036" s="1100">
        <v>1.0342901555625266</v>
      </c>
      <c r="E2036" s="1100">
        <v>1.0129036278062993</v>
      </c>
      <c r="F2036" s="1100">
        <v>0.99574234117644755</v>
      </c>
      <c r="G2036" s="1100">
        <v>1.0232575363959748</v>
      </c>
      <c r="H2036" s="1100">
        <v>0.99139950830921841</v>
      </c>
      <c r="I2036" s="1100">
        <v>1.0092528960912748</v>
      </c>
      <c r="K2036">
        <v>1.3134675428336584</v>
      </c>
      <c r="L2036">
        <v>0</v>
      </c>
      <c r="M2036">
        <v>5.8199634711646577E-4</v>
      </c>
      <c r="N2036">
        <v>5.5641876340579058E-2</v>
      </c>
      <c r="O2036">
        <v>7.790511470149343E-3</v>
      </c>
      <c r="P2036">
        <v>1.6355639412274164E-2</v>
      </c>
      <c r="Q2036">
        <v>4.569191586445514E-4</v>
      </c>
      <c r="R2036">
        <v>5.8026407793895373E-4</v>
      </c>
      <c r="S2036">
        <v>6.0797264696831402E-2</v>
      </c>
      <c r="T2036">
        <v>1.0276033050740889</v>
      </c>
      <c r="U2036">
        <v>0</v>
      </c>
      <c r="V2036">
        <v>9.9277682608609252E-2</v>
      </c>
      <c r="W2036">
        <v>3.6275081413061253E-2</v>
      </c>
      <c r="X2036">
        <v>7.6917073924499405E-3</v>
      </c>
      <c r="Y2036">
        <v>1.5792875361479478E-3</v>
      </c>
    </row>
    <row r="2037" spans="1:25" x14ac:dyDescent="0.25">
      <c r="A2037" s="1096"/>
      <c r="B2037" s="1455">
        <v>1787</v>
      </c>
      <c r="C2037" s="1100">
        <v>1.0060508474312972</v>
      </c>
      <c r="D2037" s="1100">
        <v>0.9765434490341367</v>
      </c>
      <c r="E2037" s="1100">
        <v>0.98405085685267191</v>
      </c>
      <c r="F2037" s="1100">
        <v>0.98934061174506382</v>
      </c>
      <c r="G2037" s="1100">
        <v>0.9981214162830867</v>
      </c>
      <c r="H2037" s="1100">
        <v>0.98396430747959973</v>
      </c>
      <c r="I2037" s="1100">
        <v>0.97833870607413598</v>
      </c>
      <c r="K2037">
        <v>1.3008511674056948</v>
      </c>
      <c r="L2037">
        <v>0</v>
      </c>
      <c r="M2037">
        <v>6.1336970942597402E-4</v>
      </c>
      <c r="N2037">
        <v>5.3744267465943296E-2</v>
      </c>
      <c r="O2037">
        <v>7.7849389645756658E-3</v>
      </c>
      <c r="P2037">
        <v>1.5882729985720101E-2</v>
      </c>
      <c r="Q2037">
        <v>4.4352927412917353E-4</v>
      </c>
      <c r="R2037">
        <v>6.1153026446182093E-4</v>
      </c>
      <c r="S2037">
        <v>5.9161205057831338E-2</v>
      </c>
      <c r="T2037">
        <v>1.0218476934275409</v>
      </c>
      <c r="U2037">
        <v>0</v>
      </c>
      <c r="V2037">
        <v>9.74616685490233E-2</v>
      </c>
      <c r="W2037">
        <v>3.5644739180342867E-2</v>
      </c>
      <c r="X2037">
        <v>7.2178511565846992E-3</v>
      </c>
      <c r="Y2037">
        <v>1.6643837889675755E-3</v>
      </c>
    </row>
    <row r="2038" spans="1:25" x14ac:dyDescent="0.25">
      <c r="A2038" s="1096"/>
      <c r="B2038" s="1455">
        <v>1788</v>
      </c>
      <c r="C2038" s="1100">
        <v>1.0027186426404331</v>
      </c>
      <c r="D2038" s="1100">
        <v>0.97967330403693098</v>
      </c>
      <c r="E2038" s="1100">
        <v>1.0347756165546205</v>
      </c>
      <c r="F2038" s="1100">
        <v>1.0169482142160799</v>
      </c>
      <c r="G2038" s="1100">
        <v>1.0107362829433033</v>
      </c>
      <c r="H2038" s="1100">
        <v>0.98904922368306436</v>
      </c>
      <c r="I2038" s="1100">
        <v>1.0037236267399701</v>
      </c>
      <c r="K2038">
        <v>1.3362019899002984</v>
      </c>
      <c r="L2038">
        <v>0</v>
      </c>
      <c r="M2038">
        <v>5.560125045101415E-4</v>
      </c>
      <c r="N2038">
        <v>5.6782041653271324E-2</v>
      </c>
      <c r="O2038">
        <v>7.8133565361650816E-3</v>
      </c>
      <c r="P2038">
        <v>1.6904091996612122E-2</v>
      </c>
      <c r="Q2038">
        <v>4.6831110608083672E-4</v>
      </c>
      <c r="R2038">
        <v>5.5435364170036965E-4</v>
      </c>
      <c r="S2038">
        <v>6.0999799805660865E-2</v>
      </c>
      <c r="T2038">
        <v>1.048841389654446</v>
      </c>
      <c r="U2038">
        <v>0</v>
      </c>
      <c r="V2038">
        <v>9.8210648560678238E-2</v>
      </c>
      <c r="W2038">
        <v>3.6549121408584538E-2</v>
      </c>
      <c r="X2038">
        <v>8.1261201715294804E-3</v>
      </c>
      <c r="Y2038">
        <v>1.5087678700795328E-3</v>
      </c>
    </row>
    <row r="2039" spans="1:25" x14ac:dyDescent="0.25">
      <c r="A2039" s="1096"/>
      <c r="B2039" s="1455">
        <v>1789</v>
      </c>
      <c r="C2039" s="1100">
        <v>1.0055440074292954</v>
      </c>
      <c r="D2039" s="1100">
        <v>1.0056309091107889</v>
      </c>
      <c r="E2039" s="1100">
        <v>1.0122964110257839</v>
      </c>
      <c r="F2039" s="1100">
        <v>1.0250587232626553</v>
      </c>
      <c r="G2039" s="1100">
        <v>0.97179868511918199</v>
      </c>
      <c r="H2039" s="1100">
        <v>0.97818284871855166</v>
      </c>
      <c r="I2039" s="1100">
        <v>1.0280300132890978</v>
      </c>
      <c r="K2039">
        <v>1.3390425836852553</v>
      </c>
      <c r="L2039">
        <v>0</v>
      </c>
      <c r="M2039">
        <v>5.6865015143672001E-4</v>
      </c>
      <c r="N2039">
        <v>5.4264169208346771E-2</v>
      </c>
      <c r="O2039">
        <v>7.7048306230081643E-3</v>
      </c>
      <c r="P2039">
        <v>1.6726817736202042E-2</v>
      </c>
      <c r="Q2039">
        <v>4.5162009246510048E-4</v>
      </c>
      <c r="R2039">
        <v>5.6693473750142381E-4</v>
      </c>
      <c r="S2039">
        <v>6.1071263381468288E-2</v>
      </c>
      <c r="T2039">
        <v>1.0578760227341084</v>
      </c>
      <c r="U2039">
        <v>0</v>
      </c>
      <c r="V2039">
        <v>9.6231981850097584E-2</v>
      </c>
      <c r="W2039">
        <v>3.5389544531648644E-2</v>
      </c>
      <c r="X2039">
        <v>7.7850394763515542E-3</v>
      </c>
      <c r="Y2039">
        <v>1.5430094654928861E-3</v>
      </c>
    </row>
    <row r="2040" spans="1:25" x14ac:dyDescent="0.25">
      <c r="A2040" s="1096"/>
      <c r="B2040" s="1455">
        <v>1790</v>
      </c>
      <c r="C2040" s="1100">
        <v>1.0303528240130413</v>
      </c>
      <c r="D2040" s="1100">
        <v>0.9651844821448452</v>
      </c>
      <c r="E2040" s="1100">
        <v>1.0027855112924167</v>
      </c>
      <c r="F2040" s="1100">
        <v>1.005260477040494</v>
      </c>
      <c r="G2040" s="1100">
        <v>1.0305248865373948</v>
      </c>
      <c r="H2040" s="1100">
        <v>1.0074394946755834</v>
      </c>
      <c r="I2040" s="1100">
        <v>0.99572306521658838</v>
      </c>
      <c r="K2040">
        <v>1.3206657341096051</v>
      </c>
      <c r="L2040">
        <v>0</v>
      </c>
      <c r="M2040">
        <v>5.9260932039478386E-4</v>
      </c>
      <c r="N2040">
        <v>5.4954380909077741E-2</v>
      </c>
      <c r="O2040">
        <v>7.6415027531035289E-3</v>
      </c>
      <c r="P2040">
        <v>1.6348306214400445E-2</v>
      </c>
      <c r="Q2040">
        <v>4.4366408841790031E-4</v>
      </c>
      <c r="R2040">
        <v>5.9087354581654128E-4</v>
      </c>
      <c r="S2040">
        <v>5.9884248772735529E-2</v>
      </c>
      <c r="T2040">
        <v>1.0377263711552223</v>
      </c>
      <c r="U2040">
        <v>0</v>
      </c>
      <c r="V2040">
        <v>9.8469028014685656E-2</v>
      </c>
      <c r="W2040">
        <v>3.6041639816097558E-2</v>
      </c>
      <c r="X2040">
        <v>7.5501651501408079E-3</v>
      </c>
      <c r="Y2040">
        <v>1.6081630103005956E-3</v>
      </c>
    </row>
    <row r="2041" spans="1:25" x14ac:dyDescent="0.25">
      <c r="A2041" s="1096"/>
      <c r="B2041" s="1455">
        <v>1791</v>
      </c>
      <c r="C2041" s="1100">
        <v>1.0082412802866143</v>
      </c>
      <c r="D2041" s="1100">
        <v>1.0017690383247546</v>
      </c>
      <c r="E2041" s="1100">
        <v>1.0024121473901446</v>
      </c>
      <c r="F2041" s="1100">
        <v>0.96703426308203644</v>
      </c>
      <c r="G2041" s="1100">
        <v>1.028741679346022</v>
      </c>
      <c r="H2041" s="1100">
        <v>0.99461043902458923</v>
      </c>
      <c r="I2041" s="1100">
        <v>1.0140119568602664</v>
      </c>
      <c r="K2041">
        <v>1.2812378666786493</v>
      </c>
      <c r="L2041">
        <v>0</v>
      </c>
      <c r="M2041">
        <v>5.895186970984659E-4</v>
      </c>
      <c r="N2041">
        <v>5.4604089915124103E-2</v>
      </c>
      <c r="O2041">
        <v>7.6936464600472826E-3</v>
      </c>
      <c r="P2041">
        <v>1.5821869320863338E-2</v>
      </c>
      <c r="Q2041">
        <v>4.4652417134668473E-4</v>
      </c>
      <c r="R2041">
        <v>5.87769702819312E-4</v>
      </c>
      <c r="S2041">
        <v>6.0696335181471321E-2</v>
      </c>
      <c r="T2041">
        <v>0.99827632222985307</v>
      </c>
      <c r="U2041">
        <v>0</v>
      </c>
      <c r="V2041">
        <v>9.8909862576254781E-2</v>
      </c>
      <c r="W2041">
        <v>3.5819834192513729E-2</v>
      </c>
      <c r="X2041">
        <v>7.3714162526089966E-3</v>
      </c>
      <c r="Y2041">
        <v>1.5997153728437062E-3</v>
      </c>
    </row>
    <row r="2042" spans="1:25" x14ac:dyDescent="0.25">
      <c r="A2042" s="1096"/>
      <c r="B2042" s="1455">
        <v>1792</v>
      </c>
      <c r="C2042" s="1100">
        <v>0.99109995448954669</v>
      </c>
      <c r="D2042" s="1100">
        <v>0.9904641289330044</v>
      </c>
      <c r="E2042" s="1100">
        <v>0.97793429921107455</v>
      </c>
      <c r="F2042" s="1100">
        <v>0.99362079935687964</v>
      </c>
      <c r="G2042" s="1100">
        <v>1.0190397528899586</v>
      </c>
      <c r="H2042" s="1100">
        <v>0.99072513825899078</v>
      </c>
      <c r="I2042" s="1100">
        <v>1.0019171120885673</v>
      </c>
      <c r="K2042">
        <v>1.3100909797797393</v>
      </c>
      <c r="L2042">
        <v>0</v>
      </c>
      <c r="M2042">
        <v>6.3129663222221224E-4</v>
      </c>
      <c r="N2042">
        <v>5.4301955759450515E-2</v>
      </c>
      <c r="O2042">
        <v>7.8562448677029547E-3</v>
      </c>
      <c r="P2042">
        <v>1.5917288682269555E-2</v>
      </c>
      <c r="Q2042">
        <v>4.4481930918617726E-4</v>
      </c>
      <c r="R2042">
        <v>6.294163453750602E-4</v>
      </c>
      <c r="S2042">
        <v>6.1237898299141169E-2</v>
      </c>
      <c r="T2042">
        <v>1.0264528667202921</v>
      </c>
      <c r="U2042">
        <v>0</v>
      </c>
      <c r="V2042">
        <v>9.8838205272400573E-2</v>
      </c>
      <c r="W2042">
        <v>3.6147768667570912E-2</v>
      </c>
      <c r="X2042">
        <v>7.1827486835034171E-3</v>
      </c>
      <c r="Y2042">
        <v>1.7130638050684242E-3</v>
      </c>
    </row>
    <row r="2043" spans="1:25" x14ac:dyDescent="0.25">
      <c r="A2043" s="1096"/>
      <c r="B2043" s="1455">
        <v>1793</v>
      </c>
      <c r="C2043" s="1100">
        <v>1.01900170238419</v>
      </c>
      <c r="D2043" s="1100">
        <v>1.0111867327718145</v>
      </c>
      <c r="E2043" s="1100">
        <v>1.0263250731588793</v>
      </c>
      <c r="F2043" s="1100">
        <v>1.0146571178764126</v>
      </c>
      <c r="G2043" s="1100">
        <v>1.0049906877337254</v>
      </c>
      <c r="H2043" s="1100">
        <v>1.0018891834792849</v>
      </c>
      <c r="I2043" s="1100">
        <v>1.017382181426745</v>
      </c>
      <c r="K2043">
        <v>1.3299988530715978</v>
      </c>
      <c r="L2043">
        <v>0</v>
      </c>
      <c r="M2043">
        <v>5.5697875352965444E-4</v>
      </c>
      <c r="N2043">
        <v>5.5452179319033637E-2</v>
      </c>
      <c r="O2043">
        <v>7.5897120475056966E-3</v>
      </c>
      <c r="P2043">
        <v>1.6750604303688275E-2</v>
      </c>
      <c r="Q2043">
        <v>4.5112269082388836E-4</v>
      </c>
      <c r="R2043">
        <v>5.553383044306357E-4</v>
      </c>
      <c r="S2043">
        <v>6.0197438884216553E-2</v>
      </c>
      <c r="T2043">
        <v>1.0467258902686982</v>
      </c>
      <c r="U2043">
        <v>0</v>
      </c>
      <c r="V2043">
        <v>9.7527970229129721E-2</v>
      </c>
      <c r="W2043">
        <v>3.5868564956627401E-2</v>
      </c>
      <c r="X2043">
        <v>7.9255630235356509E-3</v>
      </c>
      <c r="Y2043">
        <v>1.5114477974373355E-3</v>
      </c>
    </row>
    <row r="2044" spans="1:25" x14ac:dyDescent="0.25">
      <c r="A2044" s="1096"/>
      <c r="B2044" s="1455">
        <v>1794</v>
      </c>
      <c r="C2044" s="1100">
        <v>1.0339073111215302</v>
      </c>
      <c r="D2044" s="1100">
        <v>0.9859838333040758</v>
      </c>
      <c r="E2044" s="1100">
        <v>1.0017448230985322</v>
      </c>
      <c r="F2044" s="1100">
        <v>0.96587499122417986</v>
      </c>
      <c r="G2044" s="1100">
        <v>1.0134078046782744</v>
      </c>
      <c r="H2044" s="1100">
        <v>1.0072922438294947</v>
      </c>
      <c r="I2044" s="1100">
        <v>0.99533348772668351</v>
      </c>
      <c r="K2044">
        <v>1.2761063697643391</v>
      </c>
      <c r="L2044">
        <v>0</v>
      </c>
      <c r="M2044">
        <v>5.8673691415208479E-4</v>
      </c>
      <c r="N2044">
        <v>5.4239017128348943E-2</v>
      </c>
      <c r="O2044">
        <v>7.5503146442831006E-3</v>
      </c>
      <c r="P2044">
        <v>1.5755868694131359E-2</v>
      </c>
      <c r="Q2044">
        <v>4.3791196999378216E-4</v>
      </c>
      <c r="R2044">
        <v>5.8501808883907171E-4</v>
      </c>
      <c r="S2044">
        <v>5.8971133052376445E-2</v>
      </c>
      <c r="T2044">
        <v>0.99709874291203637</v>
      </c>
      <c r="U2044">
        <v>0</v>
      </c>
      <c r="V2044">
        <v>9.7557093328237476E-2</v>
      </c>
      <c r="W2044">
        <v>3.5594441015924773E-2</v>
      </c>
      <c r="X2044">
        <v>7.3113394576610089E-3</v>
      </c>
      <c r="Y2044">
        <v>1.5922263866587976E-3</v>
      </c>
    </row>
    <row r="2045" spans="1:25" x14ac:dyDescent="0.25">
      <c r="A2045" s="1096"/>
      <c r="B2045" s="1455">
        <v>1795</v>
      </c>
      <c r="C2045" s="1100">
        <v>1.0063545636855478</v>
      </c>
      <c r="D2045" s="1100">
        <v>0.99410846914732509</v>
      </c>
      <c r="E2045" s="1100">
        <v>1.0345474429385288</v>
      </c>
      <c r="F2045" s="1100">
        <v>0.99542567509450408</v>
      </c>
      <c r="G2045" s="1100">
        <v>0.98606659631520099</v>
      </c>
      <c r="H2045" s="1100">
        <v>1.0350960700508538</v>
      </c>
      <c r="I2045" s="1100">
        <v>1.0297634284733024</v>
      </c>
      <c r="K2045">
        <v>1.3180457079808805</v>
      </c>
      <c r="L2045">
        <v>0</v>
      </c>
      <c r="M2045">
        <v>5.7668813348717629E-4</v>
      </c>
      <c r="N2045">
        <v>5.8860865510780173E-2</v>
      </c>
      <c r="O2045">
        <v>7.7396543317063372E-3</v>
      </c>
      <c r="P2045">
        <v>1.6605242869926668E-2</v>
      </c>
      <c r="Q2045">
        <v>4.6378922598700606E-4</v>
      </c>
      <c r="R2045">
        <v>5.7504412455171002E-4</v>
      </c>
      <c r="S2045">
        <v>6.3310644318895756E-2</v>
      </c>
      <c r="T2045">
        <v>1.0266503953817911</v>
      </c>
      <c r="U2045">
        <v>0</v>
      </c>
      <c r="V2045">
        <v>9.6927323151109815E-2</v>
      </c>
      <c r="W2045">
        <v>3.789220633452154E-2</v>
      </c>
      <c r="X2045">
        <v>8.0321503213123032E-3</v>
      </c>
      <c r="Y2045">
        <v>1.5650805437850428E-3</v>
      </c>
    </row>
    <row r="2046" spans="1:25" x14ac:dyDescent="0.25">
      <c r="A2046" s="1096"/>
      <c r="B2046" s="1455">
        <v>1796</v>
      </c>
      <c r="C2046" s="1100">
        <v>1.0318817157732909</v>
      </c>
      <c r="D2046" s="1100">
        <v>1.0441764415818828</v>
      </c>
      <c r="E2046" s="1100">
        <v>1.035702587070102</v>
      </c>
      <c r="F2046" s="1100">
        <v>1.0261156667182902</v>
      </c>
      <c r="G2046" s="1100">
        <v>1.0324991168571727</v>
      </c>
      <c r="H2046" s="1100">
        <v>0.99010575311692428</v>
      </c>
      <c r="I2046" s="1100">
        <v>1.0005246785582862</v>
      </c>
      <c r="K2046">
        <v>1.3368469819314523</v>
      </c>
      <c r="L2046">
        <v>0</v>
      </c>
      <c r="M2046">
        <v>5.2623632927180396E-4</v>
      </c>
      <c r="N2046">
        <v>5.3891688909111189E-2</v>
      </c>
      <c r="O2046">
        <v>7.4015478740559011E-3</v>
      </c>
      <c r="P2046">
        <v>1.6998194324930181E-2</v>
      </c>
      <c r="Q2046">
        <v>4.440340272038286E-4</v>
      </c>
      <c r="R2046">
        <v>5.2466797900886587E-4</v>
      </c>
      <c r="S2046">
        <v>5.7130389980015808E-2</v>
      </c>
      <c r="T2046">
        <v>1.0582690299767932</v>
      </c>
      <c r="U2046">
        <v>0</v>
      </c>
      <c r="V2046">
        <v>9.8565851708660571E-2</v>
      </c>
      <c r="W2046">
        <v>3.4670092718388758E-2</v>
      </c>
      <c r="X2046">
        <v>8.049747480444536E-3</v>
      </c>
      <c r="Y2046">
        <v>1.4279732821093354E-3</v>
      </c>
    </row>
    <row r="2047" spans="1:25" x14ac:dyDescent="0.25">
      <c r="A2047" s="1096"/>
      <c r="B2047" s="1455">
        <v>1797</v>
      </c>
      <c r="C2047" s="1100">
        <v>1.0014386870899092</v>
      </c>
      <c r="D2047" s="1100">
        <v>1.0408027920780494</v>
      </c>
      <c r="E2047" s="1100">
        <v>0.97685115806070622</v>
      </c>
      <c r="F2047" s="1100">
        <v>0.97288680439033426</v>
      </c>
      <c r="G2047" s="1100">
        <v>1.0222489257532705</v>
      </c>
      <c r="H2047" s="1100">
        <v>0.99541372717448329</v>
      </c>
      <c r="I2047" s="1100">
        <v>0.95668207583895326</v>
      </c>
      <c r="K2047">
        <v>1.2806644031115286</v>
      </c>
      <c r="L2047">
        <v>0</v>
      </c>
      <c r="M2047">
        <v>6.1679012659119649E-4</v>
      </c>
      <c r="N2047">
        <v>5.2881281703105208E-2</v>
      </c>
      <c r="O2047">
        <v>7.6222184407616573E-3</v>
      </c>
      <c r="P2047">
        <v>1.5552368155921261E-2</v>
      </c>
      <c r="Q2047">
        <v>4.3109322794569326E-4</v>
      </c>
      <c r="R2047">
        <v>6.149616996752751E-4</v>
      </c>
      <c r="S2047">
        <v>5.6484057995236578E-2</v>
      </c>
      <c r="T2047">
        <v>1.0050658392174139</v>
      </c>
      <c r="U2047">
        <v>0</v>
      </c>
      <c r="V2047">
        <v>9.8734166756595673E-2</v>
      </c>
      <c r="W2047">
        <v>3.5225131502690146E-2</v>
      </c>
      <c r="X2047">
        <v>6.9963515143282124E-3</v>
      </c>
      <c r="Y2047">
        <v>1.6737230244462835E-3</v>
      </c>
    </row>
    <row r="2048" spans="1:25" x14ac:dyDescent="0.25">
      <c r="A2048" s="1096"/>
      <c r="B2048" s="1455">
        <v>1798</v>
      </c>
      <c r="C2048" s="1100">
        <v>0.97179658805981528</v>
      </c>
      <c r="D2048" s="1100">
        <v>1.0258840274551559</v>
      </c>
      <c r="E2048" s="1100">
        <v>0.99302138810279827</v>
      </c>
      <c r="F2048" s="1100">
        <v>0.97346303100120057</v>
      </c>
      <c r="G2048" s="1100">
        <v>0.99934047052708141</v>
      </c>
      <c r="H2048" s="1100">
        <v>0.98834548946722445</v>
      </c>
      <c r="I2048" s="1100">
        <v>0.97584755340514062</v>
      </c>
      <c r="K2048">
        <v>1.2880560368308529</v>
      </c>
      <c r="L2048">
        <v>0</v>
      </c>
      <c r="M2048">
        <v>6.1385662078644945E-4</v>
      </c>
      <c r="N2048">
        <v>5.526659216768836E-2</v>
      </c>
      <c r="O2048">
        <v>7.9042400715313554E-3</v>
      </c>
      <c r="P2048">
        <v>1.5783580211919637E-2</v>
      </c>
      <c r="Q2048">
        <v>4.544312616709882E-4</v>
      </c>
      <c r="R2048">
        <v>6.1202387606203526E-4</v>
      </c>
      <c r="S2048">
        <v>5.9635088337186663E-2</v>
      </c>
      <c r="T2048">
        <v>1.0051855066225321</v>
      </c>
      <c r="U2048">
        <v>0</v>
      </c>
      <c r="V2048">
        <v>9.8398781587470716E-2</v>
      </c>
      <c r="W2048">
        <v>3.6457712533893599E-2</v>
      </c>
      <c r="X2048">
        <v>7.3062095446611106E-3</v>
      </c>
      <c r="Y2048">
        <v>1.6657272370243384E-3</v>
      </c>
    </row>
    <row r="2049" spans="1:25" x14ac:dyDescent="0.25">
      <c r="A2049" s="1096"/>
      <c r="B2049" s="1455">
        <v>1799</v>
      </c>
      <c r="C2049" s="1100">
        <v>0.98983868048058821</v>
      </c>
      <c r="D2049" s="1100">
        <v>1.0187035752425673</v>
      </c>
      <c r="E2049" s="1100">
        <v>0.99683024749326565</v>
      </c>
      <c r="F2049" s="1100">
        <v>0.99130194584369824</v>
      </c>
      <c r="G2049" s="1100">
        <v>0.96766335176779539</v>
      </c>
      <c r="H2049" s="1100">
        <v>0.99778072501049575</v>
      </c>
      <c r="I2049" s="1100">
        <v>1.0265720244554748</v>
      </c>
      <c r="K2049">
        <v>1.3068246543635678</v>
      </c>
      <c r="L2049">
        <v>0</v>
      </c>
      <c r="M2049">
        <v>6.0533509953124092E-4</v>
      </c>
      <c r="N2049">
        <v>5.5131949945714007E-2</v>
      </c>
      <c r="O2049">
        <v>7.7829372105477322E-3</v>
      </c>
      <c r="P2049">
        <v>1.6084560264533792E-2</v>
      </c>
      <c r="Q2049">
        <v>4.491785596806278E-4</v>
      </c>
      <c r="R2049">
        <v>6.0354488711491985E-4</v>
      </c>
      <c r="S2049">
        <v>6.212433350930327E-2</v>
      </c>
      <c r="T2049">
        <v>1.0234927862358796</v>
      </c>
      <c r="U2049">
        <v>0</v>
      </c>
      <c r="V2049">
        <v>9.640584699510156E-2</v>
      </c>
      <c r="W2049">
        <v>3.6286325202067551E-2</v>
      </c>
      <c r="X2049">
        <v>7.4258764289481414E-3</v>
      </c>
      <c r="Y2049">
        <v>1.6426502242082456E-3</v>
      </c>
    </row>
    <row r="2050" spans="1:25" x14ac:dyDescent="0.25">
      <c r="A2050" s="1096"/>
      <c r="B2050" s="1455">
        <v>1800</v>
      </c>
      <c r="C2050" s="1100">
        <v>1.0346794061547684</v>
      </c>
      <c r="D2050" s="1100">
        <v>1.0390626417630962</v>
      </c>
      <c r="E2050" s="1100">
        <v>0.99888447774139444</v>
      </c>
      <c r="F2050" s="1100">
        <v>0.99848369031838924</v>
      </c>
      <c r="G2050" s="1100">
        <v>1.007759051075775</v>
      </c>
      <c r="H2050" s="1100">
        <v>1.0209550081939383</v>
      </c>
      <c r="I2050" s="1100">
        <v>0.9768788078017191</v>
      </c>
      <c r="K2050">
        <v>1.3065757143082484</v>
      </c>
      <c r="L2050">
        <v>0</v>
      </c>
      <c r="M2050">
        <v>5.8538076642446267E-4</v>
      </c>
      <c r="N2050">
        <v>5.3650152227610333E-2</v>
      </c>
      <c r="O2050">
        <v>7.3874199734954779E-3</v>
      </c>
      <c r="P2050">
        <v>1.614609955013592E-2</v>
      </c>
      <c r="Q2050">
        <v>4.2723429449556186E-4</v>
      </c>
      <c r="R2050">
        <v>5.8368886263393419E-4</v>
      </c>
      <c r="S2050">
        <v>5.6618549385910072E-2</v>
      </c>
      <c r="T2050">
        <v>1.0308465629830919</v>
      </c>
      <c r="U2050">
        <v>0</v>
      </c>
      <c r="V2050">
        <v>9.7262772715471651E-2</v>
      </c>
      <c r="W2050">
        <v>3.5267888265325779E-2</v>
      </c>
      <c r="X2050">
        <v>7.3821181453930735E-3</v>
      </c>
      <c r="Y2050">
        <v>1.5886086711077137E-3</v>
      </c>
    </row>
    <row r="2051" spans="1:25" x14ac:dyDescent="0.25">
      <c r="A2051" s="1096"/>
      <c r="B2051" s="1455">
        <v>1801</v>
      </c>
      <c r="C2051" s="1100">
        <v>1.0013867145616604</v>
      </c>
      <c r="D2051" s="1100">
        <v>1.0201177722681203</v>
      </c>
      <c r="E2051" s="1100">
        <v>0.96608839763922294</v>
      </c>
      <c r="F2051" s="1100">
        <v>0.96075066414433041</v>
      </c>
      <c r="G2051" s="1100">
        <v>1.002725373406689</v>
      </c>
      <c r="H2051" s="1100">
        <v>1.0200149560896761</v>
      </c>
      <c r="I2051" s="1100">
        <v>1.0031253266459157</v>
      </c>
      <c r="K2051">
        <v>1.2735468346839609</v>
      </c>
      <c r="L2051">
        <v>0</v>
      </c>
      <c r="M2051">
        <v>6.5148156712664684E-4</v>
      </c>
      <c r="N2051">
        <v>5.4068757659806385E-2</v>
      </c>
      <c r="O2051">
        <v>7.6814624715347713E-3</v>
      </c>
      <c r="P2051">
        <v>1.530440703209235E-2</v>
      </c>
      <c r="Q2051">
        <v>4.2969492942239977E-4</v>
      </c>
      <c r="R2051">
        <v>6.4959687936240267E-4</v>
      </c>
      <c r="S2051">
        <v>6.0605475031677583E-2</v>
      </c>
      <c r="T2051">
        <v>0.99284489358229799</v>
      </c>
      <c r="U2051">
        <v>0</v>
      </c>
      <c r="V2051">
        <v>9.7779233020309109E-2</v>
      </c>
      <c r="W2051">
        <v>3.6252554297326281E-2</v>
      </c>
      <c r="X2051">
        <v>6.8142527811874418E-3</v>
      </c>
      <c r="Y2051">
        <v>1.7679885660707294E-3</v>
      </c>
    </row>
    <row r="2052" spans="1:25" x14ac:dyDescent="0.25">
      <c r="A2052" s="1096"/>
      <c r="B2052" s="1455">
        <v>1802</v>
      </c>
      <c r="C2052" s="1100">
        <v>1.0006487632540437</v>
      </c>
      <c r="D2052" s="1100">
        <v>0.978687011819389</v>
      </c>
      <c r="E2052" s="1100">
        <v>1.0049490319329983</v>
      </c>
      <c r="F2052" s="1100">
        <v>0.97314493624276122</v>
      </c>
      <c r="G2052" s="1100">
        <v>0.99187775691979552</v>
      </c>
      <c r="H2052" s="1100">
        <v>0.95683464100389926</v>
      </c>
      <c r="I2052" s="1100">
        <v>0.99801295119012201</v>
      </c>
      <c r="K2052">
        <v>1.2834203154945891</v>
      </c>
      <c r="L2052">
        <v>0</v>
      </c>
      <c r="M2052">
        <v>5.7375582107541503E-4</v>
      </c>
      <c r="N2052">
        <v>5.3546539629841954E-2</v>
      </c>
      <c r="O2052">
        <v>7.8252713996473083E-3</v>
      </c>
      <c r="P2052">
        <v>1.5902878641271441E-2</v>
      </c>
      <c r="Q2052">
        <v>4.5532066887432675E-4</v>
      </c>
      <c r="R2052">
        <v>5.719863884402984E-4</v>
      </c>
      <c r="S2052">
        <v>5.9792154388534538E-2</v>
      </c>
      <c r="T2052">
        <v>1.0045112012843809</v>
      </c>
      <c r="U2052">
        <v>0</v>
      </c>
      <c r="V2052">
        <v>9.7315813254033892E-2</v>
      </c>
      <c r="W2052">
        <v>3.507332058170063E-2</v>
      </c>
      <c r="X2052">
        <v>7.4428266848644243E-3</v>
      </c>
      <c r="Y2052">
        <v>1.5567583940722181E-3</v>
      </c>
    </row>
    <row r="2053" spans="1:25" x14ac:dyDescent="0.25">
      <c r="A2053" s="1096"/>
      <c r="B2053" s="1455">
        <v>1803</v>
      </c>
      <c r="C2053" s="1100">
        <v>1.0280486232194259</v>
      </c>
      <c r="D2053" s="1100">
        <v>0.99350659813929809</v>
      </c>
      <c r="E2053" s="1100">
        <v>1.0092993440942526</v>
      </c>
      <c r="F2053" s="1100">
        <v>0.97766478787979993</v>
      </c>
      <c r="G2053" s="1100">
        <v>0.99487768207078964</v>
      </c>
      <c r="H2053" s="1100">
        <v>0.96702894730163591</v>
      </c>
      <c r="I2053" s="1100">
        <v>1.0046997254827883</v>
      </c>
      <c r="K2053">
        <v>1.2841778121107474</v>
      </c>
      <c r="L2053">
        <v>0</v>
      </c>
      <c r="M2053">
        <v>5.5598565925284432E-4</v>
      </c>
      <c r="N2053">
        <v>5.2575947146811741E-2</v>
      </c>
      <c r="O2053">
        <v>7.5721018479890214E-3</v>
      </c>
      <c r="P2053">
        <v>1.5990787725001118E-2</v>
      </c>
      <c r="Q2053">
        <v>4.4251300561038489E-4</v>
      </c>
      <c r="R2053">
        <v>5.5428910429132343E-4</v>
      </c>
      <c r="S2053">
        <v>5.8424259975786458E-2</v>
      </c>
      <c r="T2053">
        <v>1.0090510427047863</v>
      </c>
      <c r="U2053">
        <v>0</v>
      </c>
      <c r="V2053">
        <v>9.6805613173126082E-2</v>
      </c>
      <c r="W2053">
        <v>3.4349147755275894E-2</v>
      </c>
      <c r="X2053">
        <v>7.4595031107963297E-3</v>
      </c>
      <c r="Y2053">
        <v>1.5085922205268602E-3</v>
      </c>
    </row>
    <row r="2054" spans="1:25" x14ac:dyDescent="0.25">
      <c r="A2054" s="1096"/>
      <c r="B2054" s="1455">
        <v>1804</v>
      </c>
      <c r="C2054" s="1100">
        <v>1.0319927328882144</v>
      </c>
      <c r="D2054" s="1100">
        <v>0.99126801262694697</v>
      </c>
      <c r="E2054" s="1100">
        <v>0.99307764784564445</v>
      </c>
      <c r="F2054" s="1100">
        <v>1.0095044504439488</v>
      </c>
      <c r="G2054" s="1100">
        <v>0.99826246182497946</v>
      </c>
      <c r="H2054" s="1100">
        <v>0.99916515683298612</v>
      </c>
      <c r="I2054" s="1100">
        <v>1.0108628542274032</v>
      </c>
      <c r="K2054">
        <v>1.3206184442244469</v>
      </c>
      <c r="L2054">
        <v>0</v>
      </c>
      <c r="M2054">
        <v>5.9238822110002382E-4</v>
      </c>
      <c r="N2054">
        <v>5.3344554802944887E-2</v>
      </c>
      <c r="O2054">
        <v>7.5460989499893149E-3</v>
      </c>
      <c r="P2054">
        <v>1.6267513901663432E-2</v>
      </c>
      <c r="Q2054">
        <v>4.3386561052455639E-4</v>
      </c>
      <c r="R2054">
        <v>5.9063872510714674E-4</v>
      </c>
      <c r="S2054">
        <v>5.9578344700130653E-2</v>
      </c>
      <c r="T2054">
        <v>1.0423997142651384</v>
      </c>
      <c r="U2054">
        <v>0</v>
      </c>
      <c r="V2054">
        <v>9.6859322505665257E-2</v>
      </c>
      <c r="W2054">
        <v>3.5188619031141649E-2</v>
      </c>
      <c r="X2054">
        <v>7.394636047502132E-3</v>
      </c>
      <c r="Y2054">
        <v>1.6075239057382494E-3</v>
      </c>
    </row>
    <row r="2055" spans="1:25" x14ac:dyDescent="0.25">
      <c r="A2055" s="1096"/>
      <c r="B2055" s="1455">
        <v>1805</v>
      </c>
      <c r="C2055" s="1100">
        <v>1.0234050051748922</v>
      </c>
      <c r="D2055" s="1100">
        <v>1.0145769800685249</v>
      </c>
      <c r="E2055" s="1100">
        <v>0.99119064966836123</v>
      </c>
      <c r="F2055" s="1100">
        <v>0.97632172136473183</v>
      </c>
      <c r="G2055" s="1100">
        <v>1.005970983564632</v>
      </c>
      <c r="H2055" s="1100">
        <v>1.0129736143699957</v>
      </c>
      <c r="I2055" s="1100">
        <v>1.0006488106809275</v>
      </c>
      <c r="K2055">
        <v>1.2869167114698394</v>
      </c>
      <c r="L2055">
        <v>0</v>
      </c>
      <c r="M2055">
        <v>6.0236071429756795E-4</v>
      </c>
      <c r="N2055">
        <v>5.3936219070930894E-2</v>
      </c>
      <c r="O2055">
        <v>7.5385555878050101E-3</v>
      </c>
      <c r="P2055">
        <v>1.5782815754026059E-2</v>
      </c>
      <c r="Q2055">
        <v>4.3260697631286946E-4</v>
      </c>
      <c r="R2055">
        <v>6.0060601652479407E-4</v>
      </c>
      <c r="S2055">
        <v>5.9142570172265402E-2</v>
      </c>
      <c r="T2055">
        <v>1.0081909765609045</v>
      </c>
      <c r="U2055">
        <v>0</v>
      </c>
      <c r="V2055">
        <v>9.7431626282389522E-2</v>
      </c>
      <c r="W2055">
        <v>3.5619083261519864E-2</v>
      </c>
      <c r="X2055">
        <v>7.2093609141966287E-3</v>
      </c>
      <c r="Y2055">
        <v>1.6346515872603532E-3</v>
      </c>
    </row>
    <row r="2056" spans="1:25" x14ac:dyDescent="0.25">
      <c r="A2056" s="1096"/>
      <c r="B2056" s="1455">
        <v>1806</v>
      </c>
      <c r="C2056" s="1100">
        <v>1.0291807716043913</v>
      </c>
      <c r="D2056" s="1100">
        <v>0.97228314241592517</v>
      </c>
      <c r="E2056" s="1100">
        <v>0.960630993569768</v>
      </c>
      <c r="F2056" s="1100">
        <v>0.98500196903397552</v>
      </c>
      <c r="G2056" s="1100">
        <v>1.0022767037041291</v>
      </c>
      <c r="H2056" s="1100">
        <v>0.99272048912283861</v>
      </c>
      <c r="I2056" s="1100">
        <v>0.99359118319436346</v>
      </c>
      <c r="K2056">
        <v>1.2932457760359872</v>
      </c>
      <c r="L2056">
        <v>0</v>
      </c>
      <c r="M2056">
        <v>6.3600935318870407E-4</v>
      </c>
      <c r="N2056">
        <v>5.19150346223438E-2</v>
      </c>
      <c r="O2056">
        <v>7.6176761638780156E-3</v>
      </c>
      <c r="P2056">
        <v>1.5545035350308585E-2</v>
      </c>
      <c r="Q2056">
        <v>4.2374772288736475E-4</v>
      </c>
      <c r="R2056">
        <v>6.3411883728449936E-4</v>
      </c>
      <c r="S2056">
        <v>5.9110325563552835E-2</v>
      </c>
      <c r="T2056">
        <v>1.0180722252320424</v>
      </c>
      <c r="U2056">
        <v>0</v>
      </c>
      <c r="V2056">
        <v>9.7083597131845209E-2</v>
      </c>
      <c r="W2056">
        <v>3.4924929392312343E-2</v>
      </c>
      <c r="X2056">
        <v>6.8292329348520805E-3</v>
      </c>
      <c r="Y2056">
        <v>1.7258624378698763E-3</v>
      </c>
    </row>
    <row r="2057" spans="1:25" x14ac:dyDescent="0.25">
      <c r="A2057" s="1096"/>
      <c r="B2057" s="1455">
        <v>1807</v>
      </c>
      <c r="C2057" s="1100">
        <v>1.0163959931168327</v>
      </c>
      <c r="D2057" s="1100">
        <v>1.0160801906863641</v>
      </c>
      <c r="E2057" s="1100">
        <v>0.9919792103904771</v>
      </c>
      <c r="F2057" s="1100">
        <v>0.99817366192740908</v>
      </c>
      <c r="G2057" s="1100">
        <v>0.99082852135213861</v>
      </c>
      <c r="H2057" s="1100">
        <v>1.0088539585139418</v>
      </c>
      <c r="I2057" s="1100">
        <v>1.0151638925112438</v>
      </c>
      <c r="K2057">
        <v>1.3107441863921361</v>
      </c>
      <c r="L2057">
        <v>0</v>
      </c>
      <c r="M2057">
        <v>6.0270495125162187E-4</v>
      </c>
      <c r="N2057">
        <v>5.409520186031775E-2</v>
      </c>
      <c r="O2057">
        <v>7.5862362090207665E-3</v>
      </c>
      <c r="P2057">
        <v>1.6105035674324839E-2</v>
      </c>
      <c r="Q2057">
        <v>4.3568999615017668E-4</v>
      </c>
      <c r="R2057">
        <v>6.0094208130016249E-4</v>
      </c>
      <c r="S2057">
        <v>6.0242337952071193E-2</v>
      </c>
      <c r="T2057">
        <v>1.0307325854554721</v>
      </c>
      <c r="U2057">
        <v>0</v>
      </c>
      <c r="V2057">
        <v>9.6866962680761476E-2</v>
      </c>
      <c r="W2057">
        <v>3.5707223542140211E-2</v>
      </c>
      <c r="X2057">
        <v>7.3391096470319652E-3</v>
      </c>
      <c r="Y2057">
        <v>1.6355662447951824E-3</v>
      </c>
    </row>
    <row r="2058" spans="1:25" x14ac:dyDescent="0.25">
      <c r="A2058" s="1096"/>
      <c r="B2058" s="1455">
        <v>1808</v>
      </c>
      <c r="C2058" s="1100">
        <v>1.0328104212655875</v>
      </c>
      <c r="D2058" s="1100">
        <v>1.0113885379282872</v>
      </c>
      <c r="E2058" s="1100">
        <v>1.0278994839964244</v>
      </c>
      <c r="F2058" s="1100">
        <v>1.0004640437108405</v>
      </c>
      <c r="G2058" s="1100">
        <v>1.0013920214417249</v>
      </c>
      <c r="H2058" s="1100">
        <v>1.0087359723724065</v>
      </c>
      <c r="I2058" s="1100">
        <v>0.97021046326964044</v>
      </c>
      <c r="K2058">
        <v>1.3104849174094255</v>
      </c>
      <c r="L2058">
        <v>0</v>
      </c>
      <c r="M2058">
        <v>5.5143190896042278E-4</v>
      </c>
      <c r="N2058">
        <v>5.5162287221681906E-2</v>
      </c>
      <c r="O2058">
        <v>7.4880136202427694E-3</v>
      </c>
      <c r="P2058">
        <v>1.6511499141619323E-2</v>
      </c>
      <c r="Q2058">
        <v>4.4577232150713682E-4</v>
      </c>
      <c r="R2058">
        <v>5.4981882043025031E-4</v>
      </c>
      <c r="S2058">
        <v>5.6829795815391736E-2</v>
      </c>
      <c r="T2058">
        <v>1.0320386195135138</v>
      </c>
      <c r="U2058">
        <v>0</v>
      </c>
      <c r="V2058">
        <v>9.7030295842961717E-2</v>
      </c>
      <c r="W2058">
        <v>3.564838359260928E-2</v>
      </c>
      <c r="X2058">
        <v>7.8354378469421646E-3</v>
      </c>
      <c r="Y2058">
        <v>1.4964255814856981E-3</v>
      </c>
    </row>
    <row r="2059" spans="1:25" x14ac:dyDescent="0.25">
      <c r="A2059" s="1096"/>
      <c r="B2059" s="1455">
        <v>1809</v>
      </c>
      <c r="C2059" s="1100">
        <v>0.98077526118887537</v>
      </c>
      <c r="D2059" s="1100">
        <v>1.0003069470778347</v>
      </c>
      <c r="E2059" s="1100">
        <v>1.0157114257989488</v>
      </c>
      <c r="F2059" s="1100">
        <v>1.0190051565660205</v>
      </c>
      <c r="G2059" s="1100">
        <v>1.0087916054572459</v>
      </c>
      <c r="H2059" s="1100">
        <v>0.98024460608033936</v>
      </c>
      <c r="I2059" s="1100">
        <v>1.0081120647382202</v>
      </c>
      <c r="K2059">
        <v>1.3389075679067273</v>
      </c>
      <c r="L2059">
        <v>0</v>
      </c>
      <c r="M2059">
        <v>5.8134000696387226E-4</v>
      </c>
      <c r="N2059">
        <v>5.6050204523090008E-2</v>
      </c>
      <c r="O2059">
        <v>7.9170573584668516E-3</v>
      </c>
      <c r="P2059">
        <v>1.6722608993841055E-2</v>
      </c>
      <c r="Q2059">
        <v>4.656432012797398E-4</v>
      </c>
      <c r="R2059">
        <v>5.7959000083922794E-4</v>
      </c>
      <c r="S2059">
        <v>6.1644083830388746E-2</v>
      </c>
      <c r="T2059">
        <v>1.0515265198087669</v>
      </c>
      <c r="U2059">
        <v>0</v>
      </c>
      <c r="V2059">
        <v>9.8648145162178069E-2</v>
      </c>
      <c r="W2059">
        <v>3.6481039780934178E-2</v>
      </c>
      <c r="X2059">
        <v>7.8765623334137135E-3</v>
      </c>
      <c r="Y2059">
        <v>1.5774529204919509E-3</v>
      </c>
    </row>
    <row r="2060" spans="1:25" x14ac:dyDescent="0.25">
      <c r="A2060" s="1096"/>
      <c r="B2060" s="1455">
        <v>1810</v>
      </c>
      <c r="C2060" s="1100">
        <v>0.99609346915512287</v>
      </c>
      <c r="D2060" s="1100">
        <v>0.96735776532453421</v>
      </c>
      <c r="E2060" s="1100">
        <v>1.0084149501460418</v>
      </c>
      <c r="F2060" s="1100">
        <v>1.0176776019870997</v>
      </c>
      <c r="G2060" s="1100">
        <v>0.99093511690631608</v>
      </c>
      <c r="H2060" s="1100">
        <v>1.0218972498155341</v>
      </c>
      <c r="I2060" s="1100">
        <v>1.0208924313943306</v>
      </c>
      <c r="K2060">
        <v>1.3418715272003572</v>
      </c>
      <c r="L2060">
        <v>0</v>
      </c>
      <c r="M2060">
        <v>6.1401102047591613E-4</v>
      </c>
      <c r="N2060">
        <v>5.7917711274223183E-2</v>
      </c>
      <c r="O2060">
        <v>7.8986215009766679E-3</v>
      </c>
      <c r="P2060">
        <v>1.6630620690073969E-2</v>
      </c>
      <c r="Q2060">
        <v>4.6118662595969362E-4</v>
      </c>
      <c r="R2060">
        <v>6.1223800407050736E-4</v>
      </c>
      <c r="S2060">
        <v>6.3897372711760922E-2</v>
      </c>
      <c r="T2060">
        <v>1.0503749519187471</v>
      </c>
      <c r="U2060">
        <v>0</v>
      </c>
      <c r="V2060">
        <v>9.7387354705042423E-2</v>
      </c>
      <c r="W2060">
        <v>3.7858808687064524E-2</v>
      </c>
      <c r="X2060">
        <v>7.7803620800369786E-3</v>
      </c>
      <c r="Y2060">
        <v>1.6663100228761208E-3</v>
      </c>
    </row>
    <row r="2061" spans="1:25" x14ac:dyDescent="0.25">
      <c r="A2061" s="1096"/>
      <c r="B2061" s="1455">
        <v>1811</v>
      </c>
      <c r="C2061" s="1100">
        <v>0.95935386775725651</v>
      </c>
      <c r="D2061" s="1100">
        <v>0.9912715082121486</v>
      </c>
      <c r="E2061" s="1100">
        <v>1.005427427930822</v>
      </c>
      <c r="F2061" s="1100">
        <v>1.0146357441705574</v>
      </c>
      <c r="G2061" s="1100">
        <v>1.0141871334287464</v>
      </c>
      <c r="H2061" s="1100">
        <v>0.96116313498170902</v>
      </c>
      <c r="I2061" s="1100">
        <v>0.98944509762013078</v>
      </c>
      <c r="K2061">
        <v>1.3352489571261899</v>
      </c>
      <c r="L2061">
        <v>0</v>
      </c>
      <c r="M2061">
        <v>5.9750193903249256E-4</v>
      </c>
      <c r="N2061">
        <v>5.5844079643633901E-2</v>
      </c>
      <c r="O2061">
        <v>8.1206220196198744E-3</v>
      </c>
      <c r="P2061">
        <v>1.6548215986651783E-2</v>
      </c>
      <c r="Q2061">
        <v>4.7273253737363025E-4</v>
      </c>
      <c r="R2061">
        <v>5.9566757286373087E-4</v>
      </c>
      <c r="S2061">
        <v>6.1542773345067414E-2</v>
      </c>
      <c r="T2061">
        <v>1.0473249619340248</v>
      </c>
      <c r="U2061">
        <v>0</v>
      </c>
      <c r="V2061">
        <v>9.9461812179027886E-2</v>
      </c>
      <c r="W2061">
        <v>3.6567867339922025E-2</v>
      </c>
      <c r="X2061">
        <v>7.7465157354620479E-3</v>
      </c>
      <c r="Y2061">
        <v>1.6212107715724545E-3</v>
      </c>
    </row>
    <row r="2062" spans="1:25" x14ac:dyDescent="0.25">
      <c r="A2062" s="1096"/>
      <c r="B2062" s="1455">
        <v>1812</v>
      </c>
      <c r="C2062" s="1100">
        <v>0.99239743034700489</v>
      </c>
      <c r="D2062" s="1100">
        <v>0.95516825431850061</v>
      </c>
      <c r="E2062" s="1100">
        <v>0.98120536038462369</v>
      </c>
      <c r="F2062" s="1100">
        <v>0.97150257973635312</v>
      </c>
      <c r="G2062" s="1100">
        <v>0.96853701869737163</v>
      </c>
      <c r="H2062" s="1100">
        <v>1.0162873798224812</v>
      </c>
      <c r="I2062" s="1100">
        <v>0.98908073689730258</v>
      </c>
      <c r="K2062">
        <v>1.2894339259285312</v>
      </c>
      <c r="L2062">
        <v>0</v>
      </c>
      <c r="M2062">
        <v>6.5177079207921513E-4</v>
      </c>
      <c r="N2062">
        <v>5.6624962225103721E-2</v>
      </c>
      <c r="O2062">
        <v>7.9615053936468588E-3</v>
      </c>
      <c r="P2062">
        <v>1.5630181896860385E-2</v>
      </c>
      <c r="Q2062">
        <v>4.5228070281149325E-4</v>
      </c>
      <c r="R2062">
        <v>6.4987835181260412E-4</v>
      </c>
      <c r="S2062">
        <v>6.2359371395649274E-2</v>
      </c>
      <c r="T2062">
        <v>1.0035072688863957</v>
      </c>
      <c r="U2062">
        <v>0</v>
      </c>
      <c r="V2062">
        <v>9.6366310072313485E-2</v>
      </c>
      <c r="W2062">
        <v>3.7619746210310563E-2</v>
      </c>
      <c r="X2062">
        <v>7.1454369444125063E-3</v>
      </c>
      <c r="Y2062">
        <v>1.7687546412928094E-3</v>
      </c>
    </row>
    <row r="2063" spans="1:25" x14ac:dyDescent="0.25">
      <c r="A2063" s="1096"/>
      <c r="B2063" s="1455">
        <v>1813</v>
      </c>
      <c r="C2063" s="1100">
        <v>0.97723157600423383</v>
      </c>
      <c r="D2063" s="1100">
        <v>1.0091539295404377</v>
      </c>
      <c r="E2063" s="1100">
        <v>1.0165996945426259</v>
      </c>
      <c r="F2063" s="1100">
        <v>1.0003755594391064</v>
      </c>
      <c r="G2063" s="1100">
        <v>0.97176816276967692</v>
      </c>
      <c r="H2063" s="1100">
        <v>0.99896520330284566</v>
      </c>
      <c r="I2063" s="1100">
        <v>0.9742137591662241</v>
      </c>
      <c r="K2063">
        <v>1.3178745936582048</v>
      </c>
      <c r="L2063">
        <v>0</v>
      </c>
      <c r="M2063">
        <v>5.914067526585808E-4</v>
      </c>
      <c r="N2063">
        <v>5.7177077809534127E-2</v>
      </c>
      <c r="O2063">
        <v>7.9180524591346436E-3</v>
      </c>
      <c r="P2063">
        <v>1.6422577084469626E-2</v>
      </c>
      <c r="Q2063">
        <v>4.661140281809914E-4</v>
      </c>
      <c r="R2063">
        <v>5.8965980562950503E-4</v>
      </c>
      <c r="S2063">
        <v>6.0073756013545802E-2</v>
      </c>
      <c r="T2063">
        <v>1.0322763398930934</v>
      </c>
      <c r="U2063">
        <v>0</v>
      </c>
      <c r="V2063">
        <v>9.6949530488443805E-2</v>
      </c>
      <c r="W2063">
        <v>3.7195087321858548E-2</v>
      </c>
      <c r="X2063">
        <v>7.7929458973504872E-3</v>
      </c>
      <c r="Y2063">
        <v>1.6048596096208279E-3</v>
      </c>
    </row>
    <row r="2064" spans="1:25" x14ac:dyDescent="0.25">
      <c r="A2064" s="1096"/>
      <c r="B2064" s="1455">
        <v>1814</v>
      </c>
      <c r="C2064" s="1100">
        <v>0.99781194902703563</v>
      </c>
      <c r="D2064" s="1100">
        <v>1.030844064775807</v>
      </c>
      <c r="E2064" s="1100">
        <v>1.0126909467954079</v>
      </c>
      <c r="F2064" s="1100">
        <v>1.0251046034434568</v>
      </c>
      <c r="G2064" s="1100">
        <v>0.98515584879451568</v>
      </c>
      <c r="H2064" s="1100">
        <v>0.98029107259046422</v>
      </c>
      <c r="I2064" s="1100">
        <v>1.0369364298431263</v>
      </c>
      <c r="K2064">
        <v>1.3402003101144295</v>
      </c>
      <c r="L2064">
        <v>0</v>
      </c>
      <c r="M2064">
        <v>5.6816528550269032E-4</v>
      </c>
      <c r="N2064">
        <v>5.4282859215652859E-2</v>
      </c>
      <c r="O2064">
        <v>7.6881024198628828E-3</v>
      </c>
      <c r="P2064">
        <v>1.6747191779112092E-2</v>
      </c>
      <c r="Q2064">
        <v>4.5081708548583169E-4</v>
      </c>
      <c r="R2064">
        <v>5.6645502027523114E-4</v>
      </c>
      <c r="S2064">
        <v>6.1323670837375326E-2</v>
      </c>
      <c r="T2064">
        <v>1.0579114838483765</v>
      </c>
      <c r="U2064">
        <v>0</v>
      </c>
      <c r="V2064">
        <v>9.706967555457216E-2</v>
      </c>
      <c r="W2064">
        <v>3.5393514584055125E-2</v>
      </c>
      <c r="X2064">
        <v>7.7930012218193978E-3</v>
      </c>
      <c r="Y2064">
        <v>1.5417038333419304E-3</v>
      </c>
    </row>
    <row r="2065" spans="1:25" x14ac:dyDescent="0.25">
      <c r="A2065" s="1096"/>
      <c r="B2065" s="1455">
        <v>1815</v>
      </c>
      <c r="C2065" s="1100">
        <v>0.99977925906910659</v>
      </c>
      <c r="D2065" s="1100">
        <v>1.0192665855602137</v>
      </c>
      <c r="E2065" s="1100">
        <v>0.98618588005576457</v>
      </c>
      <c r="F2065" s="1100">
        <v>1.0357365594450276</v>
      </c>
      <c r="G2065" s="1100">
        <v>0.96112026704959719</v>
      </c>
      <c r="H2065" s="1100">
        <v>0.99538590082105161</v>
      </c>
      <c r="I2065" s="1100">
        <v>1.0176521435632153</v>
      </c>
      <c r="K2065">
        <v>1.3497982738747807</v>
      </c>
      <c r="L2065">
        <v>0</v>
      </c>
      <c r="M2065">
        <v>6.1107274629968573E-4</v>
      </c>
      <c r="N2065">
        <v>5.3891733080977215E-2</v>
      </c>
      <c r="O2065">
        <v>7.7012602890670807E-3</v>
      </c>
      <c r="P2065">
        <v>1.6555351547952339E-2</v>
      </c>
      <c r="Q2065">
        <v>4.3971232085603839E-4</v>
      </c>
      <c r="R2065">
        <v>6.0926121747763534E-4</v>
      </c>
      <c r="S2065">
        <v>6.0869861452333064E-2</v>
      </c>
      <c r="T2065">
        <v>1.069701284763066</v>
      </c>
      <c r="U2065">
        <v>0</v>
      </c>
      <c r="V2065">
        <v>9.5828685710949435E-2</v>
      </c>
      <c r="W2065">
        <v>3.5696680055357623E-2</v>
      </c>
      <c r="X2065">
        <v>7.4573079919744252E-3</v>
      </c>
      <c r="Y2065">
        <v>1.6582081910677597E-3</v>
      </c>
    </row>
    <row r="2066" spans="1:25" x14ac:dyDescent="0.25">
      <c r="A2066" s="1096"/>
      <c r="B2066" s="1455">
        <v>1816</v>
      </c>
      <c r="C2066" s="1100">
        <v>1.0449973308979545</v>
      </c>
      <c r="D2066" s="1100">
        <v>0.99845200332892758</v>
      </c>
      <c r="E2066" s="1100">
        <v>1.0159279951645264</v>
      </c>
      <c r="F2066" s="1100">
        <v>0.96355467487655178</v>
      </c>
      <c r="G2066" s="1100">
        <v>0.99972814799491994</v>
      </c>
      <c r="H2066" s="1100">
        <v>0.99636353191986482</v>
      </c>
      <c r="I2066" s="1100">
        <v>0.99713550870704903</v>
      </c>
      <c r="K2066">
        <v>1.2697571917897414</v>
      </c>
      <c r="L2066">
        <v>0</v>
      </c>
      <c r="M2066">
        <v>5.5474674086298918E-4</v>
      </c>
      <c r="N2066">
        <v>5.3523782010815389E-2</v>
      </c>
      <c r="O2066">
        <v>7.4360710404427445E-3</v>
      </c>
      <c r="P2066">
        <v>1.5854274577953333E-2</v>
      </c>
      <c r="Q2066">
        <v>4.3744829152535074E-4</v>
      </c>
      <c r="R2066">
        <v>5.5310380445312086E-4</v>
      </c>
      <c r="S2066">
        <v>5.7753105588669661E-2</v>
      </c>
      <c r="T2066">
        <v>0.99430023299576797</v>
      </c>
      <c r="U2066">
        <v>0</v>
      </c>
      <c r="V2066">
        <v>9.6656554013944435E-2</v>
      </c>
      <c r="W2066">
        <v>3.4832255020680082E-2</v>
      </c>
      <c r="X2066">
        <v>7.4597449612491739E-3</v>
      </c>
      <c r="Y2066">
        <v>1.5053662251012594E-3</v>
      </c>
    </row>
    <row r="2067" spans="1:25" x14ac:dyDescent="0.25">
      <c r="A2067" s="1096"/>
      <c r="B2067" s="1455">
        <v>1817</v>
      </c>
      <c r="C2067" s="1100">
        <v>0.9778232240225454</v>
      </c>
      <c r="D2067" s="1100">
        <v>1.0201642938098525</v>
      </c>
      <c r="E2067" s="1100">
        <v>1.0135044794960606</v>
      </c>
      <c r="F2067" s="1100">
        <v>0.99410651889130186</v>
      </c>
      <c r="G2067" s="1100">
        <v>1.0255590294510941</v>
      </c>
      <c r="H2067" s="1100">
        <v>1.0077680863935821</v>
      </c>
      <c r="I2067" s="1100">
        <v>0.97885056147753668</v>
      </c>
      <c r="K2067">
        <v>1.3142154509326849</v>
      </c>
      <c r="L2067">
        <v>0</v>
      </c>
      <c r="M2067">
        <v>5.975075362599047E-4</v>
      </c>
      <c r="N2067">
        <v>5.7231293949768579E-2</v>
      </c>
      <c r="O2067">
        <v>7.8782153272509408E-3</v>
      </c>
      <c r="P2067">
        <v>1.6335191959352922E-2</v>
      </c>
      <c r="Q2067">
        <v>4.6234017758092538E-4</v>
      </c>
      <c r="R2067">
        <v>5.9575798526922648E-4</v>
      </c>
      <c r="S2067">
        <v>6.0237320996706201E-2</v>
      </c>
      <c r="T2067">
        <v>1.0258975966025647</v>
      </c>
      <c r="U2067">
        <v>0</v>
      </c>
      <c r="V2067">
        <v>9.9533175474784755E-2</v>
      </c>
      <c r="W2067">
        <v>3.7298099912339878E-2</v>
      </c>
      <c r="X2067">
        <v>7.7225092389902302E-3</v>
      </c>
      <c r="Y2067">
        <v>1.6214568443357717E-3</v>
      </c>
    </row>
    <row r="2068" spans="1:25" x14ac:dyDescent="0.25">
      <c r="A2068" s="1096"/>
      <c r="B2068" s="1455">
        <v>1818</v>
      </c>
      <c r="C2068" s="1100">
        <v>0.98701673133234924</v>
      </c>
      <c r="D2068" s="1100">
        <v>1.0149956260843922</v>
      </c>
      <c r="E2068" s="1100">
        <v>0.99200456648588009</v>
      </c>
      <c r="F2068" s="1100">
        <v>1.0030203183958608</v>
      </c>
      <c r="G2068" s="1100">
        <v>0.96971117038979371</v>
      </c>
      <c r="H2068" s="1100">
        <v>0.99128857105943768</v>
      </c>
      <c r="I2068" s="1100">
        <v>0.98829214897520179</v>
      </c>
      <c r="K2068">
        <v>1.316593034192969</v>
      </c>
      <c r="L2068">
        <v>0</v>
      </c>
      <c r="M2068">
        <v>6.1006722995400858E-4</v>
      </c>
      <c r="N2068">
        <v>5.4757346873446577E-2</v>
      </c>
      <c r="O2068">
        <v>7.8153901655589088E-3</v>
      </c>
      <c r="P2068">
        <v>1.6164448949975846E-2</v>
      </c>
      <c r="Q2068">
        <v>4.488621750309618E-4</v>
      </c>
      <c r="R2068">
        <v>6.0825120665292543E-4</v>
      </c>
      <c r="S2068">
        <v>5.9894154160864251E-2</v>
      </c>
      <c r="T2068">
        <v>1.0357365694862608</v>
      </c>
      <c r="U2068">
        <v>0</v>
      </c>
      <c r="V2068">
        <v>9.657114020872383E-2</v>
      </c>
      <c r="W2068">
        <v>3.6143744832115542E-2</v>
      </c>
      <c r="X2068">
        <v>7.4077340897398987E-3</v>
      </c>
      <c r="Y2068">
        <v>1.6554592745528778E-3</v>
      </c>
    </row>
    <row r="2069" spans="1:25" x14ac:dyDescent="0.25">
      <c r="A2069" s="1096"/>
      <c r="B2069" s="1455">
        <v>1819</v>
      </c>
      <c r="C2069" s="1100">
        <v>1.0000342567851468</v>
      </c>
      <c r="D2069" s="1100">
        <v>0.97119837796515018</v>
      </c>
      <c r="E2069" s="1100">
        <v>0.99634235697646489</v>
      </c>
      <c r="F2069" s="1100">
        <v>1.0054276156550994</v>
      </c>
      <c r="G2069" s="1100">
        <v>1.0101786803846247</v>
      </c>
      <c r="H2069" s="1100">
        <v>1.0153181803295876</v>
      </c>
      <c r="I2069" s="1100">
        <v>1.0355058006662949</v>
      </c>
      <c r="K2069">
        <v>1.328169475069618</v>
      </c>
      <c r="L2069">
        <v>0</v>
      </c>
      <c r="M2069">
        <v>6.220820834206605E-4</v>
      </c>
      <c r="N2069">
        <v>5.6576635830086437E-2</v>
      </c>
      <c r="O2069">
        <v>7.8520367768845478E-3</v>
      </c>
      <c r="P2069">
        <v>1.6329971591046159E-2</v>
      </c>
      <c r="Q2069">
        <v>4.5294391332099894E-4</v>
      </c>
      <c r="R2069">
        <v>6.2027412120900071E-4</v>
      </c>
      <c r="S2069">
        <v>6.4196721694529946E-2</v>
      </c>
      <c r="T2069">
        <v>1.0380918139367907</v>
      </c>
      <c r="U2069">
        <v>0</v>
      </c>
      <c r="V2069">
        <v>9.8206769412500464E-2</v>
      </c>
      <c r="W2069">
        <v>3.7248006099439131E-2</v>
      </c>
      <c r="X2069">
        <v>7.5282020926077603E-3</v>
      </c>
      <c r="Y2069">
        <v>1.6881816846217969E-3</v>
      </c>
    </row>
    <row r="2070" spans="1:25" x14ac:dyDescent="0.25">
      <c r="A2070" s="1096"/>
      <c r="B2070" s="1455">
        <v>1820</v>
      </c>
      <c r="C2070" s="1100">
        <v>0.98957097438952724</v>
      </c>
      <c r="D2070" s="1100">
        <v>0.96900718745220937</v>
      </c>
      <c r="E2070" s="1100">
        <v>0.97198475064118472</v>
      </c>
      <c r="F2070" s="1100">
        <v>0.97517821154466933</v>
      </c>
      <c r="G2070" s="1100">
        <v>0.99003537856557555</v>
      </c>
      <c r="H2070" s="1100">
        <v>1.0017233213312824</v>
      </c>
      <c r="I2070" s="1100">
        <v>0.98594468118780632</v>
      </c>
      <c r="K2070">
        <v>1.2912076042937193</v>
      </c>
      <c r="L2070">
        <v>0</v>
      </c>
      <c r="M2070">
        <v>6.5289272263251857E-4</v>
      </c>
      <c r="N2070">
        <v>5.5159116443385413E-2</v>
      </c>
      <c r="O2070">
        <v>7.9361299665537382E-3</v>
      </c>
      <c r="P2070">
        <v>1.5577021744774084E-2</v>
      </c>
      <c r="Q2070">
        <v>4.4662577494710949E-4</v>
      </c>
      <c r="R2070">
        <v>6.5096946324292497E-4</v>
      </c>
      <c r="S2070">
        <v>6.1402423363214588E-2</v>
      </c>
      <c r="T2070">
        <v>1.007577920948985</v>
      </c>
      <c r="U2070">
        <v>0</v>
      </c>
      <c r="V2070">
        <v>9.7467311718700447E-2</v>
      </c>
      <c r="W2070">
        <v>3.6851041540340183E-2</v>
      </c>
      <c r="X2070">
        <v>7.0202117652861966E-3</v>
      </c>
      <c r="Y2070">
        <v>1.7717242869213566E-3</v>
      </c>
    </row>
    <row r="2071" spans="1:25" x14ac:dyDescent="0.25">
      <c r="A2071" s="1096"/>
      <c r="B2071" s="1455">
        <v>1821</v>
      </c>
      <c r="C2071" s="1100">
        <v>0.96012492981138098</v>
      </c>
      <c r="D2071" s="1100">
        <v>0.99904070752805241</v>
      </c>
      <c r="E2071" s="1100">
        <v>1.0160112048195198</v>
      </c>
      <c r="F2071" s="1100">
        <v>1.0117837903216642</v>
      </c>
      <c r="G2071" s="1100">
        <v>1.0216046750353158</v>
      </c>
      <c r="H2071" s="1100">
        <v>1.030715812816855</v>
      </c>
      <c r="I2071" s="1100">
        <v>0.96394565843148172</v>
      </c>
      <c r="K2071">
        <v>1.3399806533762244</v>
      </c>
      <c r="L2071">
        <v>0</v>
      </c>
      <c r="M2071">
        <v>6.2434662548226734E-4</v>
      </c>
      <c r="N2071">
        <v>6.0260099773158105E-2</v>
      </c>
      <c r="O2071">
        <v>8.0915125728439723E-3</v>
      </c>
      <c r="P2071">
        <v>1.6641561810742726E-2</v>
      </c>
      <c r="Q2071">
        <v>4.7604599257664731E-4</v>
      </c>
      <c r="R2071">
        <v>6.2255918887474729E-4</v>
      </c>
      <c r="S2071">
        <v>6.1800737574997343E-2</v>
      </c>
      <c r="T2071">
        <v>1.044065799895892</v>
      </c>
      <c r="U2071">
        <v>0</v>
      </c>
      <c r="V2071">
        <v>9.9812025714797775E-2</v>
      </c>
      <c r="W2071">
        <v>3.9214206818620312E-2</v>
      </c>
      <c r="X2071">
        <v>7.9260497736679293E-3</v>
      </c>
      <c r="Y2071">
        <v>1.6944008855356053E-3</v>
      </c>
    </row>
    <row r="2072" spans="1:25" x14ac:dyDescent="0.25">
      <c r="A2072" s="1096"/>
      <c r="B2072" s="1455">
        <v>1822</v>
      </c>
      <c r="C2072" s="1100">
        <v>1.0254442852355752</v>
      </c>
      <c r="D2072" s="1100">
        <v>0.99999191795459474</v>
      </c>
      <c r="E2072" s="1100">
        <v>0.97295298166112865</v>
      </c>
      <c r="F2072" s="1100">
        <v>0.98803540675114021</v>
      </c>
      <c r="G2072" s="1100">
        <v>1.0063724838340942</v>
      </c>
      <c r="H2072" s="1100">
        <v>0.99492696701470207</v>
      </c>
      <c r="I2072" s="1100">
        <v>1.0181323015455868</v>
      </c>
      <c r="K2072">
        <v>1.2977364201751738</v>
      </c>
      <c r="L2072">
        <v>0</v>
      </c>
      <c r="M2072">
        <v>6.167141033884254E-4</v>
      </c>
      <c r="N2072">
        <v>5.2254485463071612E-2</v>
      </c>
      <c r="O2072">
        <v>7.5629130000328627E-3</v>
      </c>
      <c r="P2072">
        <v>1.5745258818812349E-2</v>
      </c>
      <c r="Q2072">
        <v>4.2604287337449275E-4</v>
      </c>
      <c r="R2072">
        <v>6.1488500740427665E-4</v>
      </c>
      <c r="S2072">
        <v>5.9958864587572859E-2</v>
      </c>
      <c r="T2072">
        <v>1.0208330261908549</v>
      </c>
      <c r="U2072">
        <v>0</v>
      </c>
      <c r="V2072">
        <v>9.7382839177111574E-2</v>
      </c>
      <c r="W2072">
        <v>3.488997147480255E-2</v>
      </c>
      <c r="X2072">
        <v>7.0113333921569621E-3</v>
      </c>
      <c r="Y2072">
        <v>1.6735142933662257E-3</v>
      </c>
    </row>
    <row r="2073" spans="1:25" x14ac:dyDescent="0.25">
      <c r="A2073" s="1096"/>
      <c r="B2073" s="1455">
        <v>1823</v>
      </c>
      <c r="C2073" s="1100">
        <v>1.0050018217528833</v>
      </c>
      <c r="D2073" s="1100">
        <v>1.0359127263947279</v>
      </c>
      <c r="E2073" s="1100">
        <v>0.99808996705096142</v>
      </c>
      <c r="F2073" s="1100">
        <v>0.96688665644576866</v>
      </c>
      <c r="G2073" s="1100">
        <v>0.98168245244334473</v>
      </c>
      <c r="H2073" s="1100">
        <v>0.99739630273772761</v>
      </c>
      <c r="I2073" s="1100">
        <v>0.99434395810879872</v>
      </c>
      <c r="K2073">
        <v>1.2758048939242568</v>
      </c>
      <c r="L2073">
        <v>0</v>
      </c>
      <c r="M2073">
        <v>5.9044786231575441E-4</v>
      </c>
      <c r="N2073">
        <v>5.3981100919992912E-2</v>
      </c>
      <c r="O2073">
        <v>7.6146204337391981E-3</v>
      </c>
      <c r="P2073">
        <v>1.5713709590797327E-2</v>
      </c>
      <c r="Q2073">
        <v>4.4002205808043037E-4</v>
      </c>
      <c r="R2073">
        <v>5.8870100425210481E-4</v>
      </c>
      <c r="S2073">
        <v>5.8726375892298545E-2</v>
      </c>
      <c r="T2073">
        <v>0.99824830566943068</v>
      </c>
      <c r="U2073">
        <v>0</v>
      </c>
      <c r="V2073">
        <v>9.6707692029641343E-2</v>
      </c>
      <c r="W2073">
        <v>3.5502224019378165E-2</v>
      </c>
      <c r="X2073">
        <v>7.2703401006204331E-3</v>
      </c>
      <c r="Y2073">
        <v>1.6022500683403333E-3</v>
      </c>
    </row>
    <row r="2074" spans="1:25" x14ac:dyDescent="0.25">
      <c r="A2074" s="1096"/>
      <c r="B2074" s="1455">
        <v>1824</v>
      </c>
      <c r="C2074" s="1100">
        <v>1.0150863438542468</v>
      </c>
      <c r="D2074" s="1100">
        <v>0.97767761944623699</v>
      </c>
      <c r="E2074" s="1100">
        <v>1.0162261470951068</v>
      </c>
      <c r="F2074" s="1100">
        <v>1.000021290939799</v>
      </c>
      <c r="G2074" s="1100">
        <v>0.97817029908502373</v>
      </c>
      <c r="H2074" s="1100">
        <v>0.99985061632677563</v>
      </c>
      <c r="I2074" s="1100">
        <v>0.98447599145231679</v>
      </c>
      <c r="K2074">
        <v>1.3136383067242461</v>
      </c>
      <c r="L2074">
        <v>0</v>
      </c>
      <c r="M2074">
        <v>5.7757395612077886E-4</v>
      </c>
      <c r="N2074">
        <v>5.5776964796590604E-2</v>
      </c>
      <c r="O2074">
        <v>7.7199135475159181E-3</v>
      </c>
      <c r="P2074">
        <v>1.6396053937687526E-2</v>
      </c>
      <c r="Q2074">
        <v>4.5428106713940673E-4</v>
      </c>
      <c r="R2074">
        <v>5.7586938038700045E-4</v>
      </c>
      <c r="S2074">
        <v>5.947103812398178E-2</v>
      </c>
      <c r="T2074">
        <v>1.0319217108653373</v>
      </c>
      <c r="U2074">
        <v>0</v>
      </c>
      <c r="V2074">
        <v>9.6312871255742422E-2</v>
      </c>
      <c r="W2074">
        <v>3.6292232596191118E-2</v>
      </c>
      <c r="X2074">
        <v>7.7276184916682646E-3</v>
      </c>
      <c r="Y2074">
        <v>1.56732661812319E-3</v>
      </c>
    </row>
    <row r="2075" spans="1:25" x14ac:dyDescent="0.25">
      <c r="A2075" s="1096"/>
      <c r="B2075" s="1455">
        <v>1825</v>
      </c>
      <c r="C2075" s="1100">
        <v>1.0085793423372451</v>
      </c>
      <c r="D2075" s="1100">
        <v>1.0092264055874256</v>
      </c>
      <c r="E2075" s="1100">
        <v>1.0154585956051008</v>
      </c>
      <c r="F2075" s="1100">
        <v>1.03446780159663</v>
      </c>
      <c r="G2075" s="1100">
        <v>0.98253413889660701</v>
      </c>
      <c r="H2075" s="1100">
        <v>1.0228400373561959</v>
      </c>
      <c r="I2075" s="1100">
        <v>0.97610622053082263</v>
      </c>
      <c r="K2075">
        <v>1.3512214345392066</v>
      </c>
      <c r="L2075">
        <v>0</v>
      </c>
      <c r="M2075">
        <v>5.8809716489621581E-4</v>
      </c>
      <c r="N2075">
        <v>5.666557790083103E-2</v>
      </c>
      <c r="O2075">
        <v>7.6714528173542776E-3</v>
      </c>
      <c r="P2075">
        <v>1.6876349252379144E-2</v>
      </c>
      <c r="Q2075">
        <v>4.5108425429939776E-4</v>
      </c>
      <c r="R2075">
        <v>5.8640054254258881E-4</v>
      </c>
      <c r="S2075">
        <v>5.9019483856958384E-2</v>
      </c>
      <c r="T2075">
        <v>1.0674903160550135</v>
      </c>
      <c r="U2075">
        <v>0</v>
      </c>
      <c r="V2075">
        <v>9.668070360754262E-2</v>
      </c>
      <c r="W2075">
        <v>3.6887038806761183E-2</v>
      </c>
      <c r="X2075">
        <v>7.8851356405043004E-3</v>
      </c>
      <c r="Y2075">
        <v>1.5959889699140302E-3</v>
      </c>
    </row>
    <row r="2076" spans="1:25" x14ac:dyDescent="0.25">
      <c r="A2076" s="1096"/>
      <c r="B2076" s="1455">
        <v>1826</v>
      </c>
      <c r="C2076" s="1100">
        <v>1.0126036161004521</v>
      </c>
      <c r="D2076" s="1100">
        <v>0.98819094413363151</v>
      </c>
      <c r="E2076" s="1100">
        <v>1.0136848377132173</v>
      </c>
      <c r="F2076" s="1100">
        <v>1.017746287691111</v>
      </c>
      <c r="G2076" s="1100">
        <v>1.0198068610188256</v>
      </c>
      <c r="H2076" s="1100">
        <v>0.99453130506698106</v>
      </c>
      <c r="I2076" s="1100">
        <v>1.0206547951748948</v>
      </c>
      <c r="K2076">
        <v>1.335386835286684</v>
      </c>
      <c r="L2076">
        <v>0</v>
      </c>
      <c r="M2076">
        <v>5.7648896763311285E-4</v>
      </c>
      <c r="N2076">
        <v>5.5245971437061038E-2</v>
      </c>
      <c r="O2076">
        <v>7.7051820048705567E-3</v>
      </c>
      <c r="P2076">
        <v>1.6672045354203854E-2</v>
      </c>
      <c r="Q2076">
        <v>4.5226693259983785E-4</v>
      </c>
      <c r="R2076">
        <v>5.7477849409096418E-4</v>
      </c>
      <c r="S2076">
        <v>6.1286778043034409E-2</v>
      </c>
      <c r="T2076">
        <v>1.0502879650951868</v>
      </c>
      <c r="U2076">
        <v>0</v>
      </c>
      <c r="V2076">
        <v>9.8384355559574421E-2</v>
      </c>
      <c r="W2076">
        <v>3.6000430948450568E-2</v>
      </c>
      <c r="X2076">
        <v>7.7891928000070635E-3</v>
      </c>
      <c r="Y2076">
        <v>1.5643575852359499E-3</v>
      </c>
    </row>
    <row r="2077" spans="1:25" x14ac:dyDescent="0.25">
      <c r="A2077" s="1096"/>
      <c r="B2077" s="1455">
        <v>1827</v>
      </c>
      <c r="C2077" s="1100">
        <v>0.97726054082960234</v>
      </c>
      <c r="D2077" s="1100">
        <v>1.0137401916407194</v>
      </c>
      <c r="E2077" s="1100">
        <v>1.0425452236467658</v>
      </c>
      <c r="F2077" s="1100">
        <v>1.0031591146558816</v>
      </c>
      <c r="G2077" s="1100">
        <v>1.0075698175225636</v>
      </c>
      <c r="H2077" s="1100">
        <v>0.96955641370086865</v>
      </c>
      <c r="I2077" s="1100">
        <v>0.98634196225489157</v>
      </c>
      <c r="K2077">
        <v>1.3208324960805058</v>
      </c>
      <c r="L2077">
        <v>0</v>
      </c>
      <c r="M2077">
        <v>5.4278772343226535E-4</v>
      </c>
      <c r="N2077">
        <v>5.6740864249066977E-2</v>
      </c>
      <c r="O2077">
        <v>7.9099804272711651E-3</v>
      </c>
      <c r="P2077">
        <v>1.6785891354356097E-2</v>
      </c>
      <c r="Q2077">
        <v>4.7774106705539824E-4</v>
      </c>
      <c r="R2077">
        <v>5.411357587768559E-4</v>
      </c>
      <c r="S2077">
        <v>5.9795621070539318E-2</v>
      </c>
      <c r="T2077">
        <v>1.0343967717896967</v>
      </c>
      <c r="U2077">
        <v>0</v>
      </c>
      <c r="V2077">
        <v>9.8710541051943546E-2</v>
      </c>
      <c r="W2077">
        <v>3.6359377230917651E-2</v>
      </c>
      <c r="X2077">
        <v>8.184566654277331E-3</v>
      </c>
      <c r="Y2077">
        <v>1.4727931500356629E-3</v>
      </c>
    </row>
    <row r="2078" spans="1:25" x14ac:dyDescent="0.25">
      <c r="A2078" s="1096"/>
      <c r="B2078" s="1455">
        <v>1828</v>
      </c>
      <c r="C2078" s="1100">
        <v>0.98485883562413834</v>
      </c>
      <c r="D2078" s="1100">
        <v>0.99838767387697414</v>
      </c>
      <c r="E2078" s="1100">
        <v>0.98134716166302516</v>
      </c>
      <c r="F2078" s="1100">
        <v>1.0131990607477401</v>
      </c>
      <c r="G2078" s="1100">
        <v>0.9930264622537559</v>
      </c>
      <c r="H2078" s="1100">
        <v>0.99851995358427348</v>
      </c>
      <c r="I2078" s="1100">
        <v>0.96128870495529894</v>
      </c>
      <c r="K2078">
        <v>1.3286505590732569</v>
      </c>
      <c r="L2078">
        <v>0</v>
      </c>
      <c r="M2078">
        <v>6.3376996782848495E-4</v>
      </c>
      <c r="N2078">
        <v>5.5081847194170544E-2</v>
      </c>
      <c r="O2078">
        <v>7.8817208616492624E-3</v>
      </c>
      <c r="P2078">
        <v>1.618583413383021E-2</v>
      </c>
      <c r="Q2078">
        <v>4.4781275924048701E-4</v>
      </c>
      <c r="R2078">
        <v>6.3189704998988015E-4</v>
      </c>
      <c r="S2078">
        <v>5.9110102717917536E-2</v>
      </c>
      <c r="T2078">
        <v>1.0465730208461776</v>
      </c>
      <c r="U2078">
        <v>0</v>
      </c>
      <c r="V2078">
        <v>9.7742140294664243E-2</v>
      </c>
      <c r="W2078">
        <v>3.6591421749969495E-2</v>
      </c>
      <c r="X2078">
        <v>7.3187159682100373E-3</v>
      </c>
      <c r="Y2078">
        <v>1.7198154652659076E-3</v>
      </c>
    </row>
    <row r="2079" spans="1:25" x14ac:dyDescent="0.25">
      <c r="A2079" s="1096"/>
      <c r="B2079" s="1455">
        <v>1829</v>
      </c>
      <c r="C2079" s="1100">
        <v>1.0214901409417569</v>
      </c>
      <c r="D2079" s="1100">
        <v>0.97898188980201351</v>
      </c>
      <c r="E2079" s="1100">
        <v>1.0082828234648575</v>
      </c>
      <c r="F2079" s="1100">
        <v>0.99958264807866626</v>
      </c>
      <c r="G2079" s="1100">
        <v>0.966739065193155</v>
      </c>
      <c r="H2079" s="1100">
        <v>0.95744440447169887</v>
      </c>
      <c r="I2079" s="1100">
        <v>1.0054663645547945</v>
      </c>
      <c r="K2079">
        <v>1.3068613536148621</v>
      </c>
      <c r="L2079">
        <v>0</v>
      </c>
      <c r="M2079">
        <v>5.5846065481211522E-4</v>
      </c>
      <c r="N2079">
        <v>5.2646545131862441E-2</v>
      </c>
      <c r="O2079">
        <v>7.6654981928050963E-3</v>
      </c>
      <c r="P2079">
        <v>1.6281232342320876E-2</v>
      </c>
      <c r="Q2079">
        <v>4.4751580052505369E-4</v>
      </c>
      <c r="R2079">
        <v>5.5673948851183016E-4</v>
      </c>
      <c r="S2079">
        <v>5.9021714324152257E-2</v>
      </c>
      <c r="T2079">
        <v>1.0317025166739315</v>
      </c>
      <c r="U2079">
        <v>0</v>
      </c>
      <c r="V2079">
        <v>9.5597952431181271E-2</v>
      </c>
      <c r="W2079">
        <v>3.4415914124409565E-2</v>
      </c>
      <c r="X2079">
        <v>7.5689244013658645E-3</v>
      </c>
      <c r="Y2079">
        <v>1.515261358606138E-3</v>
      </c>
    </row>
    <row r="2080" spans="1:25" x14ac:dyDescent="0.25">
      <c r="A2080" s="1096"/>
      <c r="B2080" s="1455">
        <v>1830</v>
      </c>
      <c r="C2080" s="1100">
        <v>1.0281590588043605</v>
      </c>
      <c r="D2080" s="1100">
        <v>0.99159780699193745</v>
      </c>
      <c r="E2080" s="1100">
        <v>0.98039906333440219</v>
      </c>
      <c r="F2080" s="1100">
        <v>0.98680829115835944</v>
      </c>
      <c r="G2080" s="1100">
        <v>0.97325927249449184</v>
      </c>
      <c r="H2080" s="1100">
        <v>1.0043579023496041</v>
      </c>
      <c r="I2080" s="1100">
        <v>1.0427086518163635</v>
      </c>
      <c r="K2080">
        <v>1.297993142860751</v>
      </c>
      <c r="L2080">
        <v>0</v>
      </c>
      <c r="M2080">
        <v>6.1349932097064447E-4</v>
      </c>
      <c r="N2080">
        <v>5.3168286200360529E-2</v>
      </c>
      <c r="O2080">
        <v>7.5701973337259096E-3</v>
      </c>
      <c r="P2080">
        <v>1.5817572278395441E-2</v>
      </c>
      <c r="Q2080">
        <v>4.2969896891570624E-4</v>
      </c>
      <c r="R2080">
        <v>6.116968453318591E-4</v>
      </c>
      <c r="S2080">
        <v>6.1822126235822644E-2</v>
      </c>
      <c r="T2080">
        <v>1.0193413432439777</v>
      </c>
      <c r="U2080">
        <v>0</v>
      </c>
      <c r="V2080">
        <v>9.5725508562809855E-2</v>
      </c>
      <c r="W2080">
        <v>3.5340436105967821E-2</v>
      </c>
      <c r="X2080">
        <v>7.1149392392315944E-3</v>
      </c>
      <c r="Y2080">
        <v>1.6648371671824503E-3</v>
      </c>
    </row>
    <row r="2081" spans="1:25" x14ac:dyDescent="0.25">
      <c r="A2081" s="1096"/>
      <c r="B2081" s="1455">
        <v>1831</v>
      </c>
      <c r="C2081" s="1100">
        <v>0.96129162358960174</v>
      </c>
      <c r="D2081" s="1100">
        <v>0.97331419704737332</v>
      </c>
      <c r="E2081" s="1100">
        <v>0.97898856851922511</v>
      </c>
      <c r="F2081" s="1100">
        <v>0.98153846085030005</v>
      </c>
      <c r="G2081" s="1100">
        <v>1.0228720472273114</v>
      </c>
      <c r="H2081" s="1100">
        <v>1.0373467798824674</v>
      </c>
      <c r="I2081" s="1100">
        <v>1.0080171430537468</v>
      </c>
      <c r="K2081">
        <v>1.3113320293895825</v>
      </c>
      <c r="L2081">
        <v>0</v>
      </c>
      <c r="M2081">
        <v>6.8478509380208896E-4</v>
      </c>
      <c r="N2081">
        <v>5.9098995295544299E-2</v>
      </c>
      <c r="O2081">
        <v>8.1569166880835833E-3</v>
      </c>
      <c r="P2081">
        <v>1.5833991890493067E-2</v>
      </c>
      <c r="Q2081">
        <v>4.6233887998669909E-4</v>
      </c>
      <c r="R2081">
        <v>6.8283716018165315E-4</v>
      </c>
      <c r="S2081">
        <v>6.5629999185666671E-2</v>
      </c>
      <c r="T2081">
        <v>1.0139398259796246</v>
      </c>
      <c r="U2081">
        <v>0</v>
      </c>
      <c r="V2081">
        <v>9.9799872357909311E-2</v>
      </c>
      <c r="W2081">
        <v>3.9315998921233275E-2</v>
      </c>
      <c r="X2081">
        <v>7.2375804718548828E-3</v>
      </c>
      <c r="Y2081">
        <v>1.8584576528051023E-3</v>
      </c>
    </row>
    <row r="2082" spans="1:25" x14ac:dyDescent="0.25">
      <c r="A2082" s="1096"/>
      <c r="B2082" s="1455">
        <v>1832</v>
      </c>
      <c r="C2082" s="1100">
        <v>0.98673870062046021</v>
      </c>
      <c r="D2082" s="1100">
        <v>0.98816923715630212</v>
      </c>
      <c r="E2082" s="1100">
        <v>0.96120307823676865</v>
      </c>
      <c r="F2082" s="1100">
        <v>1.0092038039243014</v>
      </c>
      <c r="G2082" s="1100">
        <v>0.99903364894417501</v>
      </c>
      <c r="H2082" s="1100">
        <v>0.99763548917203471</v>
      </c>
      <c r="I2082" s="1100">
        <v>0.9961425898580607</v>
      </c>
      <c r="K2082">
        <v>1.3260044661814474</v>
      </c>
      <c r="L2082">
        <v>0</v>
      </c>
      <c r="M2082">
        <v>6.6156164083142933E-4</v>
      </c>
      <c r="N2082">
        <v>5.4095249941932072E-2</v>
      </c>
      <c r="O2082">
        <v>7.8941322006112532E-3</v>
      </c>
      <c r="P2082">
        <v>1.5925293668949257E-2</v>
      </c>
      <c r="Q2082">
        <v>4.3938426079598249E-4</v>
      </c>
      <c r="R2082">
        <v>6.5960485973582436E-4</v>
      </c>
      <c r="S2082">
        <v>6.1427784349112821E-2</v>
      </c>
      <c r="T2082">
        <v>1.043068746705877</v>
      </c>
      <c r="U2082">
        <v>0</v>
      </c>
      <c r="V2082">
        <v>9.7962473279965281E-2</v>
      </c>
      <c r="W2082">
        <v>3.6378870254433281E-2</v>
      </c>
      <c r="X2082">
        <v>7.0192613113463486E-3</v>
      </c>
      <c r="Y2082">
        <v>1.7952269895173398E-3</v>
      </c>
    </row>
    <row r="2083" spans="1:25" x14ac:dyDescent="0.25">
      <c r="A2083" s="1096"/>
      <c r="B2083" s="1455">
        <v>1833</v>
      </c>
      <c r="C2083" s="1100">
        <v>0.99503812720551976</v>
      </c>
      <c r="D2083" s="1100">
        <v>0.9924804249956144</v>
      </c>
      <c r="E2083" s="1100">
        <v>1.0020237155827192</v>
      </c>
      <c r="F2083" s="1100">
        <v>1.0154047892086193</v>
      </c>
      <c r="G2083" s="1100">
        <v>1.0051576493447685</v>
      </c>
      <c r="H2083" s="1100">
        <v>1.0093108647161912</v>
      </c>
      <c r="I2083" s="1100">
        <v>0.97276791159178921</v>
      </c>
      <c r="K2083">
        <v>1.3333914268564706</v>
      </c>
      <c r="L2083">
        <v>0</v>
      </c>
      <c r="M2083">
        <v>6.0892327763283299E-4</v>
      </c>
      <c r="N2083">
        <v>5.633773859547922E-2</v>
      </c>
      <c r="O2083">
        <v>7.8247397850640492E-3</v>
      </c>
      <c r="P2083">
        <v>1.6475247703236443E-2</v>
      </c>
      <c r="Q2083">
        <v>4.5395551000661883E-4</v>
      </c>
      <c r="R2083">
        <v>6.0714302577979419E-4</v>
      </c>
      <c r="S2083">
        <v>5.9735759626662423E-2</v>
      </c>
      <c r="T2083">
        <v>1.0482212728610971</v>
      </c>
      <c r="U2083">
        <v>0</v>
      </c>
      <c r="V2083">
        <v>9.8094656177943718E-2</v>
      </c>
      <c r="W2083">
        <v>3.6965611546401746E-2</v>
      </c>
      <c r="X2083">
        <v>7.6317821309028651E-3</v>
      </c>
      <c r="Y2083">
        <v>1.6524431715279416E-3</v>
      </c>
    </row>
    <row r="2084" spans="1:25" x14ac:dyDescent="0.25">
      <c r="A2084" s="1096"/>
      <c r="B2084" s="1455">
        <v>1834</v>
      </c>
      <c r="C2084" s="1100">
        <v>0.96921986201080346</v>
      </c>
      <c r="D2084" s="1100">
        <v>1.0273050530361596</v>
      </c>
      <c r="E2084" s="1100">
        <v>0.95646962884701758</v>
      </c>
      <c r="F2084" s="1100">
        <v>1.0123365931659738</v>
      </c>
      <c r="G2084" s="1100">
        <v>1.029951615249691</v>
      </c>
      <c r="H2084" s="1100">
        <v>1.0173799804072383</v>
      </c>
      <c r="I2084" s="1100">
        <v>1.0007507062697472</v>
      </c>
      <c r="K2084">
        <v>1.3338064621202734</v>
      </c>
      <c r="L2084">
        <v>0</v>
      </c>
      <c r="M2084">
        <v>6.8288951078749628E-4</v>
      </c>
      <c r="N2084">
        <v>5.504712991643148E-2</v>
      </c>
      <c r="O2084">
        <v>7.9117464107609885E-3</v>
      </c>
      <c r="P2084">
        <v>1.5946797569017488E-2</v>
      </c>
      <c r="Q2084">
        <v>4.3822607885737999E-4</v>
      </c>
      <c r="R2084">
        <v>6.8090884557985324E-4</v>
      </c>
      <c r="S2084">
        <v>6.2143024105665606E-2</v>
      </c>
      <c r="T2084">
        <v>1.0464552010188279</v>
      </c>
      <c r="U2084">
        <v>0</v>
      </c>
      <c r="V2084">
        <v>9.9906209222397069E-2</v>
      </c>
      <c r="W2084">
        <v>3.7126763016703396E-2</v>
      </c>
      <c r="X2084">
        <v>6.9801360306914169E-3</v>
      </c>
      <c r="Y2084">
        <v>1.853209416127741E-3</v>
      </c>
    </row>
    <row r="2085" spans="1:25" x14ac:dyDescent="0.25">
      <c r="A2085" s="1096"/>
      <c r="B2085" s="1455">
        <v>1835</v>
      </c>
      <c r="C2085" s="1100">
        <v>1.0244732063976787</v>
      </c>
      <c r="D2085" s="1100">
        <v>1.0091313514813105</v>
      </c>
      <c r="E2085" s="1100">
        <v>0.98818537600110812</v>
      </c>
      <c r="F2085" s="1100">
        <v>1.0100833435959895</v>
      </c>
      <c r="G2085" s="1100">
        <v>0.99110184666877266</v>
      </c>
      <c r="H2085" s="1100">
        <v>0.96716122173301267</v>
      </c>
      <c r="I2085" s="1100">
        <v>0.99904754500938953</v>
      </c>
      <c r="K2085">
        <v>1.3160783305421897</v>
      </c>
      <c r="L2085">
        <v>0</v>
      </c>
      <c r="M2085">
        <v>5.7935159200035074E-4</v>
      </c>
      <c r="N2085">
        <v>5.1399602353378246E-2</v>
      </c>
      <c r="O2085">
        <v>7.5462080264434919E-3</v>
      </c>
      <c r="P2085">
        <v>1.6191332020362874E-2</v>
      </c>
      <c r="Q2085">
        <v>4.3173245457719185E-4</v>
      </c>
      <c r="R2085">
        <v>5.7758397915941935E-4</v>
      </c>
      <c r="S2085">
        <v>5.7794654976010523E-2</v>
      </c>
      <c r="T2085">
        <v>1.0431459396406728</v>
      </c>
      <c r="U2085">
        <v>0</v>
      </c>
      <c r="V2085">
        <v>9.6683797169894128E-2</v>
      </c>
      <c r="W2085">
        <v>3.4005101025719027E-2</v>
      </c>
      <c r="X2085">
        <v>7.3097372972073934E-3</v>
      </c>
      <c r="Y2085">
        <v>1.5719931907643809E-3</v>
      </c>
    </row>
    <row r="2086" spans="1:25" x14ac:dyDescent="0.25">
      <c r="A2086" s="1096"/>
      <c r="B2086" s="1455">
        <v>1836</v>
      </c>
      <c r="C2086" s="1100">
        <v>0.97119407070974884</v>
      </c>
      <c r="D2086" s="1100">
        <v>1.0335518822186991</v>
      </c>
      <c r="E2086" s="1100">
        <v>0.99889312102476202</v>
      </c>
      <c r="F2086" s="1100">
        <v>1.0095090850872732</v>
      </c>
      <c r="G2086" s="1100">
        <v>0.97723847125616325</v>
      </c>
      <c r="H2086" s="1100">
        <v>1.0327349180759708</v>
      </c>
      <c r="I2086" s="1100">
        <v>0.98780934984287161</v>
      </c>
      <c r="K2086">
        <v>1.3311527267675245</v>
      </c>
      <c r="L2086">
        <v>0</v>
      </c>
      <c r="M2086">
        <v>6.3217378642468024E-4</v>
      </c>
      <c r="N2086">
        <v>5.7942161720148926E-2</v>
      </c>
      <c r="O2086">
        <v>7.8870840715939364E-3</v>
      </c>
      <c r="P2086">
        <v>1.6369495692934537E-2</v>
      </c>
      <c r="Q2086">
        <v>4.56135173676123E-4</v>
      </c>
      <c r="R2086">
        <v>6.3036747994207735E-4</v>
      </c>
      <c r="S2086">
        <v>6.152901178409418E-2</v>
      </c>
      <c r="T2086">
        <v>1.0422290530568241</v>
      </c>
      <c r="U2086">
        <v>0</v>
      </c>
      <c r="V2086">
        <v>9.7351992961883918E-2</v>
      </c>
      <c r="W2086">
        <v>3.8089121721418609E-2</v>
      </c>
      <c r="X2086">
        <v>7.5848244116147913E-3</v>
      </c>
      <c r="Y2086">
        <v>1.7156524798184196E-3</v>
      </c>
    </row>
    <row r="2087" spans="1:25" x14ac:dyDescent="0.25">
      <c r="A2087" s="1096"/>
      <c r="B2087" s="1455">
        <v>1837</v>
      </c>
      <c r="C2087" s="1100">
        <v>1.0109225943205193</v>
      </c>
      <c r="D2087" s="1100">
        <v>1.0050464552426048</v>
      </c>
      <c r="E2087" s="1100">
        <v>0.9769483395494174</v>
      </c>
      <c r="F2087" s="1100">
        <v>0.99490127235416148</v>
      </c>
      <c r="G2087" s="1100">
        <v>0.99694326302293113</v>
      </c>
      <c r="H2087" s="1100">
        <v>1.036443406547334</v>
      </c>
      <c r="I2087" s="1100">
        <v>1.0043530311813613</v>
      </c>
      <c r="K2087">
        <v>1.3112244296117537</v>
      </c>
      <c r="L2087">
        <v>0</v>
      </c>
      <c r="M2087">
        <v>6.4501756103457894E-4</v>
      </c>
      <c r="N2087">
        <v>5.532417429550858E-2</v>
      </c>
      <c r="O2087">
        <v>7.6570610219353925E-3</v>
      </c>
      <c r="P2087">
        <v>1.5900638609587046E-2</v>
      </c>
      <c r="Q2087">
        <v>4.331066873534811E-4</v>
      </c>
      <c r="R2087">
        <v>6.4318115054820199E-4</v>
      </c>
      <c r="S2087">
        <v>6.109523901403531E-2</v>
      </c>
      <c r="T2087">
        <v>1.0278055092573279</v>
      </c>
      <c r="U2087">
        <v>0</v>
      </c>
      <c r="V2087">
        <v>9.7278171514829495E-2</v>
      </c>
      <c r="W2087">
        <v>3.6850216512458213E-2</v>
      </c>
      <c r="X2087">
        <v>7.1316220420219074E-3</v>
      </c>
      <c r="Y2087">
        <v>1.7505270671829107E-3</v>
      </c>
    </row>
    <row r="2088" spans="1:25" x14ac:dyDescent="0.25">
      <c r="A2088" s="1096"/>
      <c r="B2088" s="1455">
        <v>1838</v>
      </c>
      <c r="C2088" s="1100">
        <v>1.0045393049844031</v>
      </c>
      <c r="D2088" s="1100">
        <v>0.97356199332414606</v>
      </c>
      <c r="E2088" s="1100">
        <v>0.9651146854107</v>
      </c>
      <c r="F2088" s="1100">
        <v>1.0069624571338611</v>
      </c>
      <c r="G2088" s="1100">
        <v>0.98356815599140246</v>
      </c>
      <c r="H2088" s="1100">
        <v>1.0394064214636816</v>
      </c>
      <c r="I2088" s="1100">
        <v>1.0013763596297802</v>
      </c>
      <c r="K2088">
        <v>1.3263117117275196</v>
      </c>
      <c r="L2088">
        <v>0</v>
      </c>
      <c r="M2088">
        <v>6.7562070772637396E-4</v>
      </c>
      <c r="N2088">
        <v>5.5910049436129344E-2</v>
      </c>
      <c r="O2088">
        <v>7.8015369966772793E-3</v>
      </c>
      <c r="P2088">
        <v>1.5938586894716462E-2</v>
      </c>
      <c r="Q2088">
        <v>4.3597663196388419E-4</v>
      </c>
      <c r="R2088">
        <v>6.7370265131917815E-4</v>
      </c>
      <c r="S2088">
        <v>6.2431671547737641E-2</v>
      </c>
      <c r="T2088">
        <v>1.0406306027984846</v>
      </c>
      <c r="U2088">
        <v>0</v>
      </c>
      <c r="V2088">
        <v>9.6773979496271673E-2</v>
      </c>
      <c r="W2088">
        <v>3.7509422316233706E-2</v>
      </c>
      <c r="X2088">
        <v>7.0482071348404321E-3</v>
      </c>
      <c r="Y2088">
        <v>1.8335965308714827E-3</v>
      </c>
    </row>
    <row r="2089" spans="1:25" x14ac:dyDescent="0.25">
      <c r="A2089" s="1096"/>
      <c r="B2089" s="1455">
        <v>1839</v>
      </c>
      <c r="C2089" s="1100">
        <v>1.0336125774380489</v>
      </c>
      <c r="D2089" s="1100">
        <v>1.0022585201440004</v>
      </c>
      <c r="E2089" s="1100">
        <v>0.99616060018053154</v>
      </c>
      <c r="F2089" s="1100">
        <v>0.99945882674469899</v>
      </c>
      <c r="G2089" s="1100">
        <v>1.0246537341854685</v>
      </c>
      <c r="H2089" s="1100">
        <v>0.98388839411142193</v>
      </c>
      <c r="I2089" s="1100">
        <v>1.0177203978049658</v>
      </c>
      <c r="K2089">
        <v>1.3090095427065072</v>
      </c>
      <c r="L2089">
        <v>0</v>
      </c>
      <c r="M2089">
        <v>5.7616036453041154E-4</v>
      </c>
      <c r="N2089">
        <v>5.2366532475033388E-2</v>
      </c>
      <c r="O2089">
        <v>7.5018469291737886E-3</v>
      </c>
      <c r="P2089">
        <v>1.6172946735757629E-2</v>
      </c>
      <c r="Q2089">
        <v>4.3266403046995786E-4</v>
      </c>
      <c r="R2089">
        <v>5.7443237399483114E-4</v>
      </c>
      <c r="S2089">
        <v>5.9079379360841067E-2</v>
      </c>
      <c r="T2089">
        <v>1.0319345391899692</v>
      </c>
      <c r="U2089">
        <v>0</v>
      </c>
      <c r="V2089">
        <v>9.8101777634726758E-2</v>
      </c>
      <c r="W2089">
        <v>3.4479962252181598E-2</v>
      </c>
      <c r="X2089">
        <v>7.3782065284566456E-3</v>
      </c>
      <c r="Y2089">
        <v>1.5634155604327348E-3</v>
      </c>
    </row>
    <row r="2090" spans="1:25" x14ac:dyDescent="0.25">
      <c r="A2090" s="1096"/>
      <c r="B2090" s="1455">
        <v>1840</v>
      </c>
      <c r="C2090" s="1100">
        <v>1.0261077587570873</v>
      </c>
      <c r="D2090" s="1100">
        <v>0.99430942483702145</v>
      </c>
      <c r="E2090" s="1100">
        <v>0.99218504904244598</v>
      </c>
      <c r="F2090" s="1100">
        <v>1.0012377793536418</v>
      </c>
      <c r="G2090" s="1100">
        <v>0.98836196964003964</v>
      </c>
      <c r="H2090" s="1100">
        <v>1.0468025785489159</v>
      </c>
      <c r="I2090" s="1100">
        <v>0.98881825160524794</v>
      </c>
      <c r="K2090">
        <v>1.3166671389802265</v>
      </c>
      <c r="L2090">
        <v>0</v>
      </c>
      <c r="M2090">
        <v>6.2458073156331883E-4</v>
      </c>
      <c r="N2090">
        <v>5.6099499776141641E-2</v>
      </c>
      <c r="O2090">
        <v>7.5798695161294928E-3</v>
      </c>
      <c r="P2090">
        <v>1.6141239372818496E-2</v>
      </c>
      <c r="Q2090">
        <v>4.3541482260047967E-4</v>
      </c>
      <c r="R2090">
        <v>6.2282010351348235E-4</v>
      </c>
      <c r="S2090">
        <v>5.9920987148901164E-2</v>
      </c>
      <c r="T2090">
        <v>1.0338904667127626</v>
      </c>
      <c r="U2090">
        <v>0</v>
      </c>
      <c r="V2090">
        <v>9.6517122940070768E-2</v>
      </c>
      <c r="W2090">
        <v>3.7025664435220811E-2</v>
      </c>
      <c r="X2090">
        <v>7.3635238744582682E-3</v>
      </c>
      <c r="Y2090">
        <v>1.6951110091717545E-3</v>
      </c>
    </row>
    <row r="2091" spans="1:25" x14ac:dyDescent="0.25">
      <c r="A2091" s="1096"/>
      <c r="B2091" s="1455">
        <v>1841</v>
      </c>
      <c r="C2091" s="1100">
        <v>0.97120295057379646</v>
      </c>
      <c r="D2091" s="1100">
        <v>1.0105057533293962</v>
      </c>
      <c r="E2091" s="1100">
        <v>1.0266248122680537</v>
      </c>
      <c r="F2091" s="1100">
        <v>0.98965487763447491</v>
      </c>
      <c r="G2091" s="1100">
        <v>1.0244082276550397</v>
      </c>
      <c r="H2091" s="1100">
        <v>1.0156209347710881</v>
      </c>
      <c r="I2091" s="1100">
        <v>0.99696156905603928</v>
      </c>
      <c r="K2091">
        <v>1.3145529698634386</v>
      </c>
      <c r="L2091">
        <v>0</v>
      </c>
      <c r="M2091">
        <v>5.9219047384971156E-4</v>
      </c>
      <c r="N2091">
        <v>5.901348679347581E-2</v>
      </c>
      <c r="O2091">
        <v>7.9654694143121724E-3</v>
      </c>
      <c r="P2091">
        <v>1.6455004620257802E-2</v>
      </c>
      <c r="Q2091">
        <v>4.7359782585009932E-4</v>
      </c>
      <c r="R2091">
        <v>5.9046989891839961E-4</v>
      </c>
      <c r="S2091">
        <v>6.2343845404735303E-2</v>
      </c>
      <c r="T2091">
        <v>1.02092484465907</v>
      </c>
      <c r="U2091">
        <v>0</v>
      </c>
      <c r="V2091">
        <v>9.9665320084999093E-2</v>
      </c>
      <c r="W2091">
        <v>3.8165493759819473E-2</v>
      </c>
      <c r="X2091">
        <v>7.9405634593428254E-3</v>
      </c>
      <c r="Y2091">
        <v>1.6070644165060181E-3</v>
      </c>
    </row>
    <row r="2092" spans="1:25" x14ac:dyDescent="0.25">
      <c r="A2092" s="1096"/>
      <c r="B2092" s="1455">
        <v>1842</v>
      </c>
      <c r="C2092" s="1100">
        <v>0.99731227912869502</v>
      </c>
      <c r="D2092" s="1100">
        <v>1.0095719896559521</v>
      </c>
      <c r="E2092" s="1100">
        <v>1.0026482796112794</v>
      </c>
      <c r="F2092" s="1100">
        <v>0.97747121434421802</v>
      </c>
      <c r="G2092" s="1100">
        <v>0.98747466641344184</v>
      </c>
      <c r="H2092" s="1100">
        <v>0.96917828867224476</v>
      </c>
      <c r="I2092" s="1100">
        <v>1.0345276237490457</v>
      </c>
      <c r="K2092">
        <v>1.2897349099223478</v>
      </c>
      <c r="L2092">
        <v>0</v>
      </c>
      <c r="M2092">
        <v>5.7865655230397055E-4</v>
      </c>
      <c r="N2092">
        <v>5.3632040772353624E-2</v>
      </c>
      <c r="O2092">
        <v>7.7539126325640627E-3</v>
      </c>
      <c r="P2092">
        <v>1.5959729743128852E-2</v>
      </c>
      <c r="Q2092">
        <v>4.5012858021255318E-4</v>
      </c>
      <c r="R2092">
        <v>5.7689473440884027E-4</v>
      </c>
      <c r="S2092">
        <v>6.1540583636367142E-2</v>
      </c>
      <c r="T2092">
        <v>1.009043608216919</v>
      </c>
      <c r="U2092">
        <v>0</v>
      </c>
      <c r="V2092">
        <v>9.7183097419732314E-2</v>
      </c>
      <c r="W2092">
        <v>3.5177250530471396E-2</v>
      </c>
      <c r="X2092">
        <v>7.4262029147295844E-3</v>
      </c>
      <c r="Y2092">
        <v>1.5701172937627756E-3</v>
      </c>
    </row>
    <row r="2093" spans="1:25" x14ac:dyDescent="0.25">
      <c r="A2093" s="1096"/>
      <c r="B2093" s="1455">
        <v>1843</v>
      </c>
      <c r="C2093" s="1100">
        <v>1.0210977144102598</v>
      </c>
      <c r="D2093" s="1100">
        <v>1.0251425883949472</v>
      </c>
      <c r="E2093" s="1100">
        <v>0.96404797448097601</v>
      </c>
      <c r="F2093" s="1100">
        <v>0.9591643955389163</v>
      </c>
      <c r="G2093" s="1100">
        <v>1.0156503747001884</v>
      </c>
      <c r="H2093" s="1100">
        <v>1.0239836965388354</v>
      </c>
      <c r="I2093" s="1100">
        <v>1.0438030325799843</v>
      </c>
      <c r="K2093">
        <v>1.2713227644962479</v>
      </c>
      <c r="L2093">
        <v>0</v>
      </c>
      <c r="M2093">
        <v>6.4283204379823151E-4</v>
      </c>
      <c r="N2093">
        <v>5.3022785480655109E-2</v>
      </c>
      <c r="O2093">
        <v>7.5179070908571047E-3</v>
      </c>
      <c r="P2093">
        <v>1.5277269637416858E-2</v>
      </c>
      <c r="Q2093">
        <v>4.1966723668229142E-4</v>
      </c>
      <c r="R2093">
        <v>6.4097958612490563E-4</v>
      </c>
      <c r="S2093">
        <v>6.1804136297600884E-2</v>
      </c>
      <c r="T2093">
        <v>0.9912659354984209</v>
      </c>
      <c r="U2093">
        <v>0</v>
      </c>
      <c r="V2093">
        <v>9.7924649793849017E-2</v>
      </c>
      <c r="W2093">
        <v>3.5595591539951753E-2</v>
      </c>
      <c r="X2093">
        <v>6.7521392439171398E-3</v>
      </c>
      <c r="Y2093">
        <v>1.7445351345682146E-3</v>
      </c>
    </row>
    <row r="2094" spans="1:25" x14ac:dyDescent="0.25">
      <c r="A2094" s="1096"/>
      <c r="B2094" s="1455">
        <v>1844</v>
      </c>
      <c r="C2094" s="1100">
        <v>0.97871160843694716</v>
      </c>
      <c r="D2094" s="1100">
        <v>1.0452525820953578</v>
      </c>
      <c r="E2094" s="1100">
        <v>1.0272047642192812</v>
      </c>
      <c r="F2094" s="1100">
        <v>1.0046687202372362</v>
      </c>
      <c r="G2094" s="1100">
        <v>0.99974128890300384</v>
      </c>
      <c r="H2094" s="1100">
        <v>1.0125319494225371</v>
      </c>
      <c r="I2094" s="1100">
        <v>0.99311227094830834</v>
      </c>
      <c r="K2094">
        <v>1.3244067311246397</v>
      </c>
      <c r="L2094">
        <v>0</v>
      </c>
      <c r="M2094">
        <v>5.7729284953736437E-4</v>
      </c>
      <c r="N2094">
        <v>5.7629072259944257E-2</v>
      </c>
      <c r="O2094">
        <v>7.7983304771105082E-3</v>
      </c>
      <c r="P2094">
        <v>1.6631259099657448E-2</v>
      </c>
      <c r="Q2094">
        <v>4.6392674081516738E-4</v>
      </c>
      <c r="R2094">
        <v>5.7561044178525752E-4</v>
      </c>
      <c r="S2094">
        <v>6.0429608900889428E-2</v>
      </c>
      <c r="T2094">
        <v>1.0363961996890358</v>
      </c>
      <c r="U2094">
        <v>0</v>
      </c>
      <c r="V2094">
        <v>9.8276600895482263E-2</v>
      </c>
      <c r="W2094">
        <v>3.7257583129938245E-2</v>
      </c>
      <c r="X2094">
        <v>7.9592104669086346E-3</v>
      </c>
      <c r="Y2094">
        <v>1.5666218726083324E-3</v>
      </c>
    </row>
    <row r="2095" spans="1:25" x14ac:dyDescent="0.25">
      <c r="A2095" s="1096"/>
      <c r="B2095" s="1455">
        <v>1845</v>
      </c>
      <c r="C2095" s="1100">
        <v>1.0002201103573045</v>
      </c>
      <c r="D2095" s="1100">
        <v>0.99282657516247397</v>
      </c>
      <c r="E2095" s="1100">
        <v>0.98164885553000503</v>
      </c>
      <c r="F2095" s="1100">
        <v>1.0277229274862756</v>
      </c>
      <c r="G2095" s="1100">
        <v>1.0275351933175234</v>
      </c>
      <c r="H2095" s="1100">
        <v>1.0136263161362704</v>
      </c>
      <c r="I2095" s="1100">
        <v>0.99189495718144649</v>
      </c>
      <c r="K2095">
        <v>1.3469026382275215</v>
      </c>
      <c r="L2095">
        <v>0</v>
      </c>
      <c r="M2095">
        <v>6.3449838501718409E-4</v>
      </c>
      <c r="N2095">
        <v>5.5197948304472139E-2</v>
      </c>
      <c r="O2095">
        <v>7.7781070104466898E-3</v>
      </c>
      <c r="P2095">
        <v>1.6429818015792165E-2</v>
      </c>
      <c r="Q2095">
        <v>4.420611905920519E-4</v>
      </c>
      <c r="R2095">
        <v>6.3265125926983685E-4</v>
      </c>
      <c r="S2095">
        <v>6.0694559719247552E-2</v>
      </c>
      <c r="T2095">
        <v>1.0615658917522313</v>
      </c>
      <c r="U2095">
        <v>0</v>
      </c>
      <c r="V2095">
        <v>9.9025348907974958E-2</v>
      </c>
      <c r="W2095">
        <v>3.6661877508462087E-2</v>
      </c>
      <c r="X2095">
        <v>7.3870047697484646E-3</v>
      </c>
      <c r="Y2095">
        <v>1.7218681743009282E-3</v>
      </c>
    </row>
    <row r="2096" spans="1:25" x14ac:dyDescent="0.25">
      <c r="A2096" s="1096"/>
      <c r="B2096" s="1455">
        <v>1846</v>
      </c>
      <c r="C2096" s="1100">
        <v>0.98307803939499561</v>
      </c>
      <c r="D2096" s="1100">
        <v>0.99920891083825092</v>
      </c>
      <c r="E2096" s="1100">
        <v>0.99803229356346557</v>
      </c>
      <c r="F2096" s="1100">
        <v>1.0098183465416497</v>
      </c>
      <c r="G2096" s="1100">
        <v>0.97826054223739789</v>
      </c>
      <c r="H2096" s="1100">
        <v>1.0117709214869453</v>
      </c>
      <c r="I2096" s="1100">
        <v>1.0007509140947564</v>
      </c>
      <c r="K2096">
        <v>1.3298365199995212</v>
      </c>
      <c r="L2096">
        <v>0</v>
      </c>
      <c r="M2096">
        <v>6.2128881710384358E-4</v>
      </c>
      <c r="N2096">
        <v>5.679320057790898E-2</v>
      </c>
      <c r="O2096">
        <v>7.8975624786837215E-3</v>
      </c>
      <c r="P2096">
        <v>1.6367222635282421E-2</v>
      </c>
      <c r="Q2096">
        <v>4.5634579637477421E-4</v>
      </c>
      <c r="R2096">
        <v>6.1947682975387031E-4</v>
      </c>
      <c r="S2096">
        <v>6.2049505586735915E-2</v>
      </c>
      <c r="T2096">
        <v>1.0425742522270538</v>
      </c>
      <c r="U2096">
        <v>0</v>
      </c>
      <c r="V2096">
        <v>9.7092008150376205E-2</v>
      </c>
      <c r="W2096">
        <v>3.735296458486443E-2</v>
      </c>
      <c r="X2096">
        <v>7.5692582294820225E-3</v>
      </c>
      <c r="Y2096">
        <v>1.6860117201079896E-3</v>
      </c>
    </row>
    <row r="2097" spans="1:25" x14ac:dyDescent="0.25">
      <c r="A2097" s="1096"/>
      <c r="B2097" s="1455">
        <v>1847</v>
      </c>
      <c r="C2097" s="1100">
        <v>0.98291534378280165</v>
      </c>
      <c r="D2097" s="1100">
        <v>0.97602398451487693</v>
      </c>
      <c r="E2097" s="1100">
        <v>0.98708951248874122</v>
      </c>
      <c r="F2097" s="1100">
        <v>1.0037602414899975</v>
      </c>
      <c r="G2097" s="1100">
        <v>0.9616263407012362</v>
      </c>
      <c r="H2097" s="1100">
        <v>0.98163296577694237</v>
      </c>
      <c r="I2097" s="1100">
        <v>0.98925033429165543</v>
      </c>
      <c r="K2097">
        <v>1.3192195801903073</v>
      </c>
      <c r="L2097">
        <v>0</v>
      </c>
      <c r="M2097">
        <v>6.2252550315156855E-4</v>
      </c>
      <c r="N2097">
        <v>5.5049719443062625E-2</v>
      </c>
      <c r="O2097">
        <v>7.9706386174819826E-3</v>
      </c>
      <c r="P2097">
        <v>1.6130448419694455E-2</v>
      </c>
      <c r="Q2097">
        <v>4.5550941763165944E-4</v>
      </c>
      <c r="R2097">
        <v>6.2065416689655831E-4</v>
      </c>
      <c r="S2097">
        <v>6.1177288428784296E-2</v>
      </c>
      <c r="T2097">
        <v>1.0366490133937685</v>
      </c>
      <c r="U2097">
        <v>0</v>
      </c>
      <c r="V2097">
        <v>9.6279364158160199E-2</v>
      </c>
      <c r="W2097">
        <v>3.6443918206299511E-2</v>
      </c>
      <c r="X2097">
        <v>7.3763353979771403E-3</v>
      </c>
      <c r="Y2097">
        <v>1.6892160437013014E-3</v>
      </c>
    </row>
    <row r="2098" spans="1:25" x14ac:dyDescent="0.25">
      <c r="A2098" s="1096"/>
      <c r="B2098" s="1455">
        <v>1848</v>
      </c>
      <c r="C2098" s="1100">
        <v>0.98245886245652414</v>
      </c>
      <c r="D2098" s="1100">
        <v>0.95661600651078049</v>
      </c>
      <c r="E2098" s="1100">
        <v>1.0067130922245731</v>
      </c>
      <c r="F2098" s="1100">
        <v>0.99300175689646752</v>
      </c>
      <c r="G2098" s="1100">
        <v>0.99579956997001373</v>
      </c>
      <c r="H2098" s="1100">
        <v>1.0226654898123704</v>
      </c>
      <c r="I2098" s="1100">
        <v>0.98854023195390528</v>
      </c>
      <c r="K2098">
        <v>1.317691524133936</v>
      </c>
      <c r="L2098">
        <v>0</v>
      </c>
      <c r="M2098">
        <v>6.2800481357671906E-4</v>
      </c>
      <c r="N2098">
        <v>5.8934198264052044E-2</v>
      </c>
      <c r="O2098">
        <v>8.0436546516039955E-3</v>
      </c>
      <c r="P2098">
        <v>1.6258653870616827E-2</v>
      </c>
      <c r="Q2098">
        <v>4.6885546524597668E-4</v>
      </c>
      <c r="R2098">
        <v>6.2619275100477012E-4</v>
      </c>
      <c r="S2098">
        <v>6.3129987766148102E-2</v>
      </c>
      <c r="T2098">
        <v>1.024956208219187</v>
      </c>
      <c r="U2098">
        <v>0</v>
      </c>
      <c r="V2098">
        <v>9.7966114008504093E-2</v>
      </c>
      <c r="W2098">
        <v>3.8562004732717974E-2</v>
      </c>
      <c r="X2098">
        <v>7.6693689745822588E-3</v>
      </c>
      <c r="Y2098">
        <v>1.7042902438500938E-3</v>
      </c>
    </row>
    <row r="2099" spans="1:25" x14ac:dyDescent="0.25">
      <c r="A2099" s="1096"/>
      <c r="B2099" s="1455">
        <v>1849</v>
      </c>
      <c r="C2099" s="1100">
        <v>1.0038356335733656</v>
      </c>
      <c r="D2099" s="1100">
        <v>0.9809486966047074</v>
      </c>
      <c r="E2099" s="1100">
        <v>0.99195800814354262</v>
      </c>
      <c r="F2099" s="1100">
        <v>0.97342110178416352</v>
      </c>
      <c r="G2099" s="1100">
        <v>1.0254420331073897</v>
      </c>
      <c r="H2099" s="1100">
        <v>0.98633965174046279</v>
      </c>
      <c r="I2099" s="1100">
        <v>0.9821853700459301</v>
      </c>
      <c r="K2099">
        <v>1.2865460043374868</v>
      </c>
      <c r="L2099">
        <v>0</v>
      </c>
      <c r="M2099">
        <v>6.051109863245618E-4</v>
      </c>
      <c r="N2099">
        <v>5.430403581371674E-2</v>
      </c>
      <c r="O2099">
        <v>7.7900291437250444E-3</v>
      </c>
      <c r="P2099">
        <v>1.5774507140318427E-2</v>
      </c>
      <c r="Q2099">
        <v>4.4738458154718931E-4</v>
      </c>
      <c r="R2099">
        <v>6.0330067876963292E-4</v>
      </c>
      <c r="S2099">
        <v>5.9459963267139967E-2</v>
      </c>
      <c r="T2099">
        <v>1.0051732532881807</v>
      </c>
      <c r="U2099">
        <v>0</v>
      </c>
      <c r="V2099">
        <v>9.8846394860736195E-2</v>
      </c>
      <c r="W2099">
        <v>3.5845525478563206E-2</v>
      </c>
      <c r="X2099">
        <v>7.2647355015164044E-3</v>
      </c>
      <c r="Y2099">
        <v>1.6419855695956338E-3</v>
      </c>
    </row>
    <row r="2100" spans="1:25" x14ac:dyDescent="0.25">
      <c r="A2100" s="1096"/>
      <c r="B2100" s="1455">
        <v>1850</v>
      </c>
      <c r="C2100" s="1100">
        <v>1.0006186439795728</v>
      </c>
      <c r="D2100" s="1100">
        <v>0.99757667751899981</v>
      </c>
      <c r="E2100" s="1100">
        <v>0.99004707560348093</v>
      </c>
      <c r="F2100" s="1100">
        <v>0.99254169615958332</v>
      </c>
      <c r="G2100" s="1100">
        <v>1.0166981470309948</v>
      </c>
      <c r="H2100" s="1100">
        <v>1.0197300335590322</v>
      </c>
      <c r="I2100" s="1100">
        <v>0.99255314066511913</v>
      </c>
      <c r="K2100">
        <v>1.3102547542096514</v>
      </c>
      <c r="L2100">
        <v>0</v>
      </c>
      <c r="M2100">
        <v>6.2587389979197204E-4</v>
      </c>
      <c r="N2100">
        <v>5.5849281752133752E-2</v>
      </c>
      <c r="O2100">
        <v>7.7622367820831652E-3</v>
      </c>
      <c r="P2100">
        <v>1.6032687400182204E-2</v>
      </c>
      <c r="Q2100">
        <v>4.4492872118015816E-4</v>
      </c>
      <c r="R2100">
        <v>6.2406278720531394E-4</v>
      </c>
      <c r="S2100">
        <v>6.0748865064318917E-2</v>
      </c>
      <c r="T2100">
        <v>1.0249745088951847</v>
      </c>
      <c r="U2100">
        <v>0</v>
      </c>
      <c r="V2100">
        <v>9.8500643461703286E-2</v>
      </c>
      <c r="W2100">
        <v>3.6907719180365971E-2</v>
      </c>
      <c r="X2100">
        <v>7.3372008805552801E-3</v>
      </c>
      <c r="Y2100">
        <v>1.6984931845303514E-3</v>
      </c>
    </row>
    <row r="2101" spans="1:25" x14ac:dyDescent="0.25">
      <c r="A2101" s="1096"/>
      <c r="B2101" s="1455">
        <v>1851</v>
      </c>
      <c r="C2101" s="1100">
        <v>1.0100688773814008</v>
      </c>
      <c r="D2101" s="1100">
        <v>1.0072272596760345</v>
      </c>
      <c r="E2101" s="1100">
        <v>0.99527468909206496</v>
      </c>
      <c r="F2101" s="1100">
        <v>0.96818080660247718</v>
      </c>
      <c r="G2101" s="1100">
        <v>1.0216054309128171</v>
      </c>
      <c r="H2101" s="1100">
        <v>1.0036542264494068</v>
      </c>
      <c r="I2101" s="1100">
        <v>0.98590309101781026</v>
      </c>
      <c r="K2101">
        <v>1.2803208293884942</v>
      </c>
      <c r="L2101">
        <v>0</v>
      </c>
      <c r="M2101">
        <v>6.0134945092356123E-4</v>
      </c>
      <c r="N2101">
        <v>5.4513029503143975E-2</v>
      </c>
      <c r="O2101">
        <v>7.6613225532247975E-3</v>
      </c>
      <c r="P2101">
        <v>1.572813014055937E-2</v>
      </c>
      <c r="Q2101">
        <v>4.4146744514875089E-4</v>
      </c>
      <c r="R2101">
        <v>5.9958143317949875E-4</v>
      </c>
      <c r="S2101">
        <v>5.8997515933267429E-2</v>
      </c>
      <c r="T2101">
        <v>0.99966583274570153</v>
      </c>
      <c r="U2101">
        <v>0</v>
      </c>
      <c r="V2101">
        <v>9.8512169131416638E-2</v>
      </c>
      <c r="W2101">
        <v>3.5912259393765848E-2</v>
      </c>
      <c r="X2101">
        <v>7.2590075508607421E-3</v>
      </c>
      <c r="Y2101">
        <v>1.631863009148268E-3</v>
      </c>
    </row>
    <row r="2102" spans="1:25" x14ac:dyDescent="0.25">
      <c r="A2102" s="1096"/>
      <c r="B2102" s="1455">
        <v>1852</v>
      </c>
      <c r="C2102" s="1100">
        <v>1.0247415939585913</v>
      </c>
      <c r="D2102" s="1100">
        <v>0.99495107313376074</v>
      </c>
      <c r="E2102" s="1100">
        <v>0.98016797192555105</v>
      </c>
      <c r="F2102" s="1100">
        <v>0.97529183814641107</v>
      </c>
      <c r="G2102" s="1100">
        <v>0.99349714083029739</v>
      </c>
      <c r="H2102" s="1100">
        <v>0.99365758961979767</v>
      </c>
      <c r="I2102" s="1100">
        <v>0.99650222080793527</v>
      </c>
      <c r="K2102">
        <v>1.2831552523792031</v>
      </c>
      <c r="L2102">
        <v>0</v>
      </c>
      <c r="M2102">
        <v>6.0845624140672442E-4</v>
      </c>
      <c r="N2102">
        <v>5.2692704591800046E-2</v>
      </c>
      <c r="O2102">
        <v>7.5851384026805546E-3</v>
      </c>
      <c r="P2102">
        <v>1.5629372382163637E-2</v>
      </c>
      <c r="Q2102">
        <v>4.3044595331883674E-4</v>
      </c>
      <c r="R2102">
        <v>6.0664933185092577E-4</v>
      </c>
      <c r="S2102">
        <v>5.8853874966386693E-2</v>
      </c>
      <c r="T2102">
        <v>1.0074520576102073</v>
      </c>
      <c r="U2102">
        <v>0</v>
      </c>
      <c r="V2102">
        <v>9.6784535339359629E-2</v>
      </c>
      <c r="W2102">
        <v>3.5029208175665204E-2</v>
      </c>
      <c r="X2102">
        <v>7.0486223677767778E-3</v>
      </c>
      <c r="Y2102">
        <v>1.6510994993997217E-3</v>
      </c>
    </row>
    <row r="2103" spans="1:25" x14ac:dyDescent="0.25">
      <c r="A2103" s="1096"/>
      <c r="B2103" s="1455">
        <v>1853</v>
      </c>
      <c r="C2103" s="1100">
        <v>0.99430171642676057</v>
      </c>
      <c r="D2103" s="1100">
        <v>0.99305581564254364</v>
      </c>
      <c r="E2103" s="1100">
        <v>0.98668598372546901</v>
      </c>
      <c r="F2103" s="1100">
        <v>1.008895297262383</v>
      </c>
      <c r="G2103" s="1100">
        <v>0.99836435948573465</v>
      </c>
      <c r="H2103" s="1100">
        <v>1.0101922172622086</v>
      </c>
      <c r="I2103" s="1100">
        <v>0.99089705769788594</v>
      </c>
      <c r="K2103">
        <v>1.3266028006486676</v>
      </c>
      <c r="L2103">
        <v>0</v>
      </c>
      <c r="M2103">
        <v>6.2945902739128831E-4</v>
      </c>
      <c r="N2103">
        <v>5.5599702372368442E-2</v>
      </c>
      <c r="O2103">
        <v>7.8249260845025849E-3</v>
      </c>
      <c r="P2103">
        <v>1.6213493840378103E-2</v>
      </c>
      <c r="Q2103">
        <v>4.4699950471571904E-4</v>
      </c>
      <c r="R2103">
        <v>6.2762034267361763E-4</v>
      </c>
      <c r="S2103">
        <v>6.0887036989764214E-2</v>
      </c>
      <c r="T2103">
        <v>1.0419645994552413</v>
      </c>
      <c r="U2103">
        <v>0</v>
      </c>
      <c r="V2103">
        <v>9.7767357836886754E-2</v>
      </c>
      <c r="W2103">
        <v>3.6816937863514178E-2</v>
      </c>
      <c r="X2103">
        <v>7.3754097082457219E-3</v>
      </c>
      <c r="Y2103">
        <v>1.7081756777672294E-3</v>
      </c>
    </row>
    <row r="2104" spans="1:25" x14ac:dyDescent="0.25">
      <c r="A2104" s="1096"/>
      <c r="B2104" s="1455">
        <v>1854</v>
      </c>
      <c r="C2104" s="1100">
        <v>1.0256885522103603</v>
      </c>
      <c r="D2104" s="1100">
        <v>0.9784290159764919</v>
      </c>
      <c r="E2104" s="1100">
        <v>0.97420812155498338</v>
      </c>
      <c r="F2104" s="1100">
        <v>1.0120953009145692</v>
      </c>
      <c r="G2104" s="1100">
        <v>0.99236708609011781</v>
      </c>
      <c r="H2104" s="1100">
        <v>1.0398588157834008</v>
      </c>
      <c r="I2104" s="1100">
        <v>0.97197891755262944</v>
      </c>
      <c r="K2104">
        <v>1.3265631014407353</v>
      </c>
      <c r="L2104">
        <v>0</v>
      </c>
      <c r="M2104">
        <v>6.4837236043262649E-4</v>
      </c>
      <c r="N2104">
        <v>5.5153118614820362E-2</v>
      </c>
      <c r="O2104">
        <v>7.6276316382815406E-3</v>
      </c>
      <c r="P2104">
        <v>1.6073249720172614E-2</v>
      </c>
      <c r="Q2104">
        <v>4.3023915813633959E-4</v>
      </c>
      <c r="R2104">
        <v>6.4653246164491263E-4</v>
      </c>
      <c r="S2104">
        <v>5.9213235414950487E-2</v>
      </c>
      <c r="T2104">
        <v>1.0456527682500496</v>
      </c>
      <c r="U2104">
        <v>0</v>
      </c>
      <c r="V2104">
        <v>9.6701038243831083E-2</v>
      </c>
      <c r="W2104">
        <v>3.679732840358621E-2</v>
      </c>
      <c r="X2104">
        <v>7.1566836644657138E-3</v>
      </c>
      <c r="Y2104">
        <v>1.7596482312287509E-3</v>
      </c>
    </row>
    <row r="2105" spans="1:25" x14ac:dyDescent="0.25">
      <c r="A2105" s="1096"/>
      <c r="B2105" s="1455">
        <v>1855</v>
      </c>
      <c r="C2105" s="1100">
        <v>1.0225208833470469</v>
      </c>
      <c r="D2105" s="1100">
        <v>0.98333159792236846</v>
      </c>
      <c r="E2105" s="1100">
        <v>0.98779648535553566</v>
      </c>
      <c r="F2105" s="1100">
        <v>1.0167437405148407</v>
      </c>
      <c r="G2105" s="1100">
        <v>1.0180450112377237</v>
      </c>
      <c r="H2105" s="1100">
        <v>0.97177180589865808</v>
      </c>
      <c r="I2105" s="1100">
        <v>0.98896712660462016</v>
      </c>
      <c r="K2105">
        <v>1.326526053110278</v>
      </c>
      <c r="L2105">
        <v>0</v>
      </c>
      <c r="M2105">
        <v>5.8977288502320437E-4</v>
      </c>
      <c r="N2105">
        <v>5.2263434898639376E-2</v>
      </c>
      <c r="O2105">
        <v>7.6392538152625115E-3</v>
      </c>
      <c r="P2105">
        <v>1.630427611321162E-2</v>
      </c>
      <c r="Q2105">
        <v>4.3688382091448217E-4</v>
      </c>
      <c r="R2105">
        <v>5.8798201393393346E-4</v>
      </c>
      <c r="S2105">
        <v>5.8262833076392483E-2</v>
      </c>
      <c r="T2105">
        <v>1.0500362592049144</v>
      </c>
      <c r="U2105">
        <v>0</v>
      </c>
      <c r="V2105">
        <v>9.8032870693665453E-2</v>
      </c>
      <c r="W2105">
        <v>3.4584666954548385E-2</v>
      </c>
      <c r="X2105">
        <v>7.3670721901085891E-3</v>
      </c>
      <c r="Y2105">
        <v>1.6002932137093658E-3</v>
      </c>
    </row>
    <row r="2106" spans="1:25" x14ac:dyDescent="0.25">
      <c r="A2106" s="1096"/>
      <c r="B2106" s="1455">
        <v>1856</v>
      </c>
      <c r="C2106" s="1100">
        <v>0.98442081005811233</v>
      </c>
      <c r="D2106" s="1100">
        <v>1.0201684973805603</v>
      </c>
      <c r="E2106" s="1100">
        <v>1.0000316506609692</v>
      </c>
      <c r="F2106" s="1100">
        <v>1.005614421309889</v>
      </c>
      <c r="G2106" s="1100">
        <v>1.0154789578544743</v>
      </c>
      <c r="H2106" s="1100">
        <v>0.96281913705804467</v>
      </c>
      <c r="I2106" s="1100">
        <v>1.0036596362129981</v>
      </c>
      <c r="K2106">
        <v>1.3195478182276357</v>
      </c>
      <c r="L2106">
        <v>0</v>
      </c>
      <c r="M2106">
        <v>5.8311760289230018E-4</v>
      </c>
      <c r="N2106">
        <v>5.3618900711927264E-2</v>
      </c>
      <c r="O2106">
        <v>7.822066296230494E-3</v>
      </c>
      <c r="P2106">
        <v>1.6327117774529956E-2</v>
      </c>
      <c r="Q2106">
        <v>4.5289314926047827E-4</v>
      </c>
      <c r="R2106">
        <v>5.8133047654949509E-4</v>
      </c>
      <c r="S2106">
        <v>5.9948408167245205E-2</v>
      </c>
      <c r="T2106">
        <v>1.0381740593211879</v>
      </c>
      <c r="U2106">
        <v>0</v>
      </c>
      <c r="V2106">
        <v>9.8860362866467349E-2</v>
      </c>
      <c r="W2106">
        <v>3.5223310203957248E-2</v>
      </c>
      <c r="X2106">
        <v>7.5402969415449932E-3</v>
      </c>
      <c r="Y2106">
        <v>1.5821899216276337E-3</v>
      </c>
    </row>
    <row r="2107" spans="1:25" x14ac:dyDescent="0.25">
      <c r="A2107" s="1096"/>
      <c r="B2107" s="1455">
        <v>1857</v>
      </c>
      <c r="C2107" s="1100">
        <v>0.9995352989206967</v>
      </c>
      <c r="D2107" s="1100">
        <v>1.0091543700876415</v>
      </c>
      <c r="E2107" s="1100">
        <v>1.0195950703145737</v>
      </c>
      <c r="F2107" s="1100">
        <v>0.98502217389426849</v>
      </c>
      <c r="G2107" s="1100">
        <v>0.97576349458148015</v>
      </c>
      <c r="H2107" s="1100">
        <v>1.0244425078862691</v>
      </c>
      <c r="I2107" s="1100">
        <v>1.0355987934289779</v>
      </c>
      <c r="K2107">
        <v>1.3048112910702896</v>
      </c>
      <c r="L2107">
        <v>0</v>
      </c>
      <c r="M2107">
        <v>5.8927346229157955E-4</v>
      </c>
      <c r="N2107">
        <v>5.7492284248769579E-2</v>
      </c>
      <c r="O2107">
        <v>7.7421019401397641E-3</v>
      </c>
      <c r="P2107">
        <v>1.6277030483217669E-2</v>
      </c>
      <c r="Q2107">
        <v>4.5711692036663027E-4</v>
      </c>
      <c r="R2107">
        <v>5.8757610562309981E-4</v>
      </c>
      <c r="S2107">
        <v>6.3240390300081301E-2</v>
      </c>
      <c r="T2107">
        <v>1.016347117710855</v>
      </c>
      <c r="U2107">
        <v>0</v>
      </c>
      <c r="V2107">
        <v>9.6580133220550285E-2</v>
      </c>
      <c r="W2107">
        <v>3.7334554213669734E-2</v>
      </c>
      <c r="X2107">
        <v>7.7430709242135342E-3</v>
      </c>
      <c r="Y2107">
        <v>1.5991884650949151E-3</v>
      </c>
    </row>
    <row r="2108" spans="1:25" x14ac:dyDescent="0.25">
      <c r="A2108" s="1096"/>
      <c r="B2108" s="1455">
        <v>1858</v>
      </c>
      <c r="C2108" s="1100">
        <v>0.98076495753213</v>
      </c>
      <c r="D2108" s="1100">
        <v>0.97555727995002617</v>
      </c>
      <c r="E2108" s="1100">
        <v>0.98664707921703809</v>
      </c>
      <c r="F2108" s="1100">
        <v>0.95280642071564403</v>
      </c>
      <c r="G2108" s="1100">
        <v>0.96952175237213389</v>
      </c>
      <c r="H2108" s="1100">
        <v>1.0368619336974918</v>
      </c>
      <c r="I2108" s="1100">
        <v>0.98495239825683067</v>
      </c>
      <c r="K2108">
        <v>1.2732094019252824</v>
      </c>
      <c r="L2108">
        <v>0</v>
      </c>
      <c r="M2108">
        <v>6.5972198320517412E-4</v>
      </c>
      <c r="N2108">
        <v>5.8270344332399075E-2</v>
      </c>
      <c r="O2108">
        <v>7.98953149843094E-3</v>
      </c>
      <c r="P2108">
        <v>1.544209184234996E-2</v>
      </c>
      <c r="Q2108">
        <v>4.5638462148807753E-4</v>
      </c>
      <c r="R2108">
        <v>6.5784446635362183E-4</v>
      </c>
      <c r="S2108">
        <v>6.2770438974876261E-2</v>
      </c>
      <c r="T2108">
        <v>0.98403837470695077</v>
      </c>
      <c r="U2108">
        <v>0</v>
      </c>
      <c r="V2108">
        <v>9.6716067775750592E-2</v>
      </c>
      <c r="W2108">
        <v>3.8586281710777888E-2</v>
      </c>
      <c r="X2108">
        <v>7.1513282000648945E-3</v>
      </c>
      <c r="Y2108">
        <v>1.7904357790445066E-3</v>
      </c>
    </row>
    <row r="2109" spans="1:25" x14ac:dyDescent="0.25">
      <c r="A2109" s="1096"/>
      <c r="B2109" s="1455">
        <v>1859</v>
      </c>
      <c r="C2109" s="1100">
        <v>0.98937913052797422</v>
      </c>
      <c r="D2109" s="1100">
        <v>0.9623617875761582</v>
      </c>
      <c r="E2109" s="1100">
        <v>1.026300474946034</v>
      </c>
      <c r="F2109" s="1100">
        <v>1.0036115226127014</v>
      </c>
      <c r="G2109" s="1100">
        <v>1.000182174130233</v>
      </c>
      <c r="H2109" s="1100">
        <v>0.99275925323378644</v>
      </c>
      <c r="I2109" s="1100">
        <v>1.0269758107201568</v>
      </c>
      <c r="K2109">
        <v>1.3270493453415955</v>
      </c>
      <c r="L2109">
        <v>0</v>
      </c>
      <c r="M2109">
        <v>5.7982173947449141E-4</v>
      </c>
      <c r="N2109">
        <v>5.7720551671415425E-2</v>
      </c>
      <c r="O2109">
        <v>7.973230538900318E-3</v>
      </c>
      <c r="P2109">
        <v>1.6651313707348656E-2</v>
      </c>
      <c r="Q2109">
        <v>4.7390698610793111E-4</v>
      </c>
      <c r="R2109">
        <v>5.7809830661471559E-4</v>
      </c>
      <c r="S2109">
        <v>6.3974706722195226E-2</v>
      </c>
      <c r="T2109">
        <v>1.0353319086859964</v>
      </c>
      <c r="U2109">
        <v>0</v>
      </c>
      <c r="V2109">
        <v>9.8023767410567772E-2</v>
      </c>
      <c r="W2109">
        <v>3.7336368564050378E-2</v>
      </c>
      <c r="X2109">
        <v>7.9919214673221141E-3</v>
      </c>
      <c r="Y2109">
        <v>1.5733930205496973E-3</v>
      </c>
    </row>
    <row r="2110" spans="1:25" x14ac:dyDescent="0.25">
      <c r="A2110" s="1096"/>
      <c r="B2110" s="1455">
        <v>1860</v>
      </c>
      <c r="C2110" s="1100">
        <v>0.98192791575365002</v>
      </c>
      <c r="D2110" s="1100">
        <v>1.010439274322074</v>
      </c>
      <c r="E2110" s="1100">
        <v>1.0062904163242838</v>
      </c>
      <c r="F2110" s="1100">
        <v>0.98021241484009847</v>
      </c>
      <c r="G2110" s="1100">
        <v>0.99158912949809608</v>
      </c>
      <c r="H2110" s="1100">
        <v>0.97841595728892405</v>
      </c>
      <c r="I2110" s="1100">
        <v>0.98394303667989236</v>
      </c>
      <c r="K2110">
        <v>1.2939880956604968</v>
      </c>
      <c r="L2110">
        <v>0</v>
      </c>
      <c r="M2110">
        <v>5.8865358185003968E-4</v>
      </c>
      <c r="N2110">
        <v>5.5163654519683539E-2</v>
      </c>
      <c r="O2110">
        <v>7.873599930919177E-3</v>
      </c>
      <c r="P2110">
        <v>1.6023277884262478E-2</v>
      </c>
      <c r="Q2110">
        <v>4.5874892133199814E-4</v>
      </c>
      <c r="R2110">
        <v>5.868782478021257E-4</v>
      </c>
      <c r="S2110">
        <v>5.9706052412724149E-2</v>
      </c>
      <c r="T2110">
        <v>1.011767561430126</v>
      </c>
      <c r="U2110">
        <v>0</v>
      </c>
      <c r="V2110">
        <v>9.7775583429276003E-2</v>
      </c>
      <c r="W2110">
        <v>3.6103873340959741E-2</v>
      </c>
      <c r="X2110">
        <v>7.5202299991043138E-3</v>
      </c>
      <c r="Y2110">
        <v>1.5972891261549925E-3</v>
      </c>
    </row>
    <row r="2111" spans="1:25" x14ac:dyDescent="0.25">
      <c r="A2111" s="1096"/>
      <c r="B2111" s="1455">
        <v>1861</v>
      </c>
      <c r="C2111" s="1100">
        <v>1.0204363694176657</v>
      </c>
      <c r="D2111" s="1100">
        <v>0.98610232642716988</v>
      </c>
      <c r="E2111" s="1100">
        <v>0.98885467750879297</v>
      </c>
      <c r="F2111" s="1100">
        <v>1.0316116061246041</v>
      </c>
      <c r="G2111" s="1100">
        <v>0.96965133461845532</v>
      </c>
      <c r="H2111" s="1100">
        <v>1.0092330096408975</v>
      </c>
      <c r="I2111" s="1100">
        <v>1.0187653578855904</v>
      </c>
      <c r="K2111">
        <v>1.3464014020639983</v>
      </c>
      <c r="L2111">
        <v>0</v>
      </c>
      <c r="M2111">
        <v>6.1172731545048188E-4</v>
      </c>
      <c r="N2111">
        <v>5.4388835450523601E-2</v>
      </c>
      <c r="O2111">
        <v>7.6465038993257638E-3</v>
      </c>
      <c r="P2111">
        <v>1.6533267703165544E-2</v>
      </c>
      <c r="Q2111">
        <v>4.3776686148063745E-4</v>
      </c>
      <c r="R2111">
        <v>6.0993872772912314E-4</v>
      </c>
      <c r="S2111">
        <v>6.1199073264466684E-2</v>
      </c>
      <c r="T2111">
        <v>1.0653580887724317</v>
      </c>
      <c r="U2111">
        <v>0</v>
      </c>
      <c r="V2111">
        <v>9.5742581322651746E-2</v>
      </c>
      <c r="W2111">
        <v>3.5968285341252487E-2</v>
      </c>
      <c r="X2111">
        <v>7.4687358857897634E-3</v>
      </c>
      <c r="Y2111">
        <v>1.660052150631115E-3</v>
      </c>
    </row>
    <row r="2112" spans="1:25" x14ac:dyDescent="0.25">
      <c r="A2112" s="1096"/>
      <c r="B2112" s="1455">
        <v>1862</v>
      </c>
      <c r="C2112" s="1100">
        <v>1.005692475934246</v>
      </c>
      <c r="D2112" s="1100">
        <v>0.99919800748325993</v>
      </c>
      <c r="E2112" s="1100">
        <v>0.99329126154796066</v>
      </c>
      <c r="F2112" s="1100">
        <v>1.0071697608113748</v>
      </c>
      <c r="G2112" s="1100">
        <v>1.0256128938867672</v>
      </c>
      <c r="H2112" s="1100">
        <v>0.9906227954787139</v>
      </c>
      <c r="I2112" s="1100">
        <v>1.0111073161399207</v>
      </c>
      <c r="K2112">
        <v>1.3227244007210992</v>
      </c>
      <c r="L2112">
        <v>0</v>
      </c>
      <c r="M2112">
        <v>6.0049925204209932E-4</v>
      </c>
      <c r="N2112">
        <v>5.4108498253608348E-2</v>
      </c>
      <c r="O2112">
        <v>7.718851366933387E-3</v>
      </c>
      <c r="P2112">
        <v>1.6278069071842517E-2</v>
      </c>
      <c r="Q2112">
        <v>4.4389373455852983E-4</v>
      </c>
      <c r="R2112">
        <v>5.9871050894115757E-4</v>
      </c>
      <c r="S2112">
        <v>6.0628220787136804E-2</v>
      </c>
      <c r="T2112">
        <v>1.0399824999175069</v>
      </c>
      <c r="U2112">
        <v>0</v>
      </c>
      <c r="V2112">
        <v>9.8810574565417295E-2</v>
      </c>
      <c r="W2112">
        <v>3.5687996947700341E-2</v>
      </c>
      <c r="X2112">
        <v>7.4380921790233555E-3</v>
      </c>
      <c r="Y2112">
        <v>1.6294926404716008E-3</v>
      </c>
    </row>
    <row r="2113" spans="1:25" x14ac:dyDescent="0.25">
      <c r="A2113" s="1096"/>
      <c r="B2113" s="1455">
        <v>1863</v>
      </c>
      <c r="C2113" s="1100">
        <v>0.99386261119514785</v>
      </c>
      <c r="D2113" s="1100">
        <v>1.0344510811004017</v>
      </c>
      <c r="E2113" s="1100">
        <v>0.9727009349614758</v>
      </c>
      <c r="F2113" s="1100">
        <v>0.99583402279267041</v>
      </c>
      <c r="G2113" s="1100">
        <v>1.0338822445282125</v>
      </c>
      <c r="H2113" s="1100">
        <v>0.97228880864829614</v>
      </c>
      <c r="I2113" s="1100">
        <v>0.98464041312281736</v>
      </c>
      <c r="K2113">
        <v>1.3058382719261368</v>
      </c>
      <c r="L2113">
        <v>0</v>
      </c>
      <c r="M2113">
        <v>6.1378232561379038E-4</v>
      </c>
      <c r="N2113">
        <v>5.1962809233614446E-2</v>
      </c>
      <c r="O2113">
        <v>7.6981431749492063E-3</v>
      </c>
      <c r="P2113">
        <v>1.5852859786402679E-2</v>
      </c>
      <c r="Q2113">
        <v>4.3354929248784469E-4</v>
      </c>
      <c r="R2113">
        <v>6.1191953985160411E-4</v>
      </c>
      <c r="S2113">
        <v>5.8076507341805264E-2</v>
      </c>
      <c r="T2113">
        <v>1.028898190542598</v>
      </c>
      <c r="U2113">
        <v>0</v>
      </c>
      <c r="V2113">
        <v>9.9480802707143809E-2</v>
      </c>
      <c r="W2113">
        <v>3.4700532060851226E-2</v>
      </c>
      <c r="X2113">
        <v>7.0712973037921978E-3</v>
      </c>
      <c r="Y2113">
        <v>1.6654432682539676E-3</v>
      </c>
    </row>
    <row r="2114" spans="1:25" x14ac:dyDescent="0.25">
      <c r="A2114" s="1096"/>
      <c r="B2114" s="1455">
        <v>1864</v>
      </c>
      <c r="C2114" s="1100">
        <v>1.0072598306547091</v>
      </c>
      <c r="D2114" s="1100">
        <v>1.0021181978851772</v>
      </c>
      <c r="E2114" s="1100">
        <v>1.012276681258133</v>
      </c>
      <c r="F2114" s="1100">
        <v>0.9773412794217694</v>
      </c>
      <c r="G2114" s="1100">
        <v>1.0237496406691613</v>
      </c>
      <c r="H2114" s="1100">
        <v>0.98942623103893057</v>
      </c>
      <c r="I2114" s="1100">
        <v>0.97062720358729049</v>
      </c>
      <c r="K2114">
        <v>1.2893003449033877</v>
      </c>
      <c r="L2114">
        <v>0</v>
      </c>
      <c r="M2114">
        <v>5.7503433377223032E-4</v>
      </c>
      <c r="N2114">
        <v>5.4872006770738183E-2</v>
      </c>
      <c r="O2114">
        <v>7.702474299150862E-3</v>
      </c>
      <c r="P2114">
        <v>1.6040549002993822E-2</v>
      </c>
      <c r="Q2114">
        <v>4.5147308299828959E-4</v>
      </c>
      <c r="R2114">
        <v>5.7331937306332294E-4</v>
      </c>
      <c r="S2114">
        <v>5.8001977840085303E-2</v>
      </c>
      <c r="T2114">
        <v>1.0086314697648573</v>
      </c>
      <c r="U2114">
        <v>0</v>
      </c>
      <c r="V2114">
        <v>9.8703398138897835E-2</v>
      </c>
      <c r="W2114">
        <v>3.5786374458612512E-2</v>
      </c>
      <c r="X2114">
        <v>7.5519501669636972E-3</v>
      </c>
      <c r="Y2114">
        <v>1.5603863387978281E-3</v>
      </c>
    </row>
    <row r="2115" spans="1:25" x14ac:dyDescent="0.25">
      <c r="A2115" s="1096"/>
      <c r="B2115" s="1455">
        <v>1865</v>
      </c>
      <c r="C2115" s="1100">
        <v>1.0193142549652976</v>
      </c>
      <c r="D2115" s="1100">
        <v>1.0206422808123632</v>
      </c>
      <c r="E2115" s="1100">
        <v>1.0175238418103252</v>
      </c>
      <c r="F2115" s="1100">
        <v>1.0315862559879494</v>
      </c>
      <c r="G2115" s="1100">
        <v>0.99404933838675003</v>
      </c>
      <c r="H2115" s="1100">
        <v>1.0289529579258956</v>
      </c>
      <c r="I2115" s="1100">
        <v>1.0198226436207765</v>
      </c>
      <c r="K2115">
        <v>1.349460022216781</v>
      </c>
      <c r="L2115">
        <v>0</v>
      </c>
      <c r="M2115">
        <v>5.8025603773690737E-4</v>
      </c>
      <c r="N2115">
        <v>5.6260539820401759E-2</v>
      </c>
      <c r="O2115">
        <v>7.5570802075886961E-3</v>
      </c>
      <c r="P2115">
        <v>1.6889299947606885E-2</v>
      </c>
      <c r="Q2115">
        <v>4.4527414501128169E-4</v>
      </c>
      <c r="R2115">
        <v>5.7859198162537662E-4</v>
      </c>
      <c r="S2115">
        <v>6.0835049821371778E-2</v>
      </c>
      <c r="T2115">
        <v>1.0644544154811195</v>
      </c>
      <c r="U2115">
        <v>0</v>
      </c>
      <c r="V2115">
        <v>9.6981284943438634E-2</v>
      </c>
      <c r="W2115">
        <v>3.6579028443018462E-2</v>
      </c>
      <c r="X2115">
        <v>7.8849768221458307E-3</v>
      </c>
      <c r="Y2115">
        <v>1.5747366411887926E-3</v>
      </c>
    </row>
    <row r="2116" spans="1:25" x14ac:dyDescent="0.25">
      <c r="A2116" s="1096"/>
      <c r="B2116" s="1455">
        <v>1866</v>
      </c>
      <c r="C2116" s="1100">
        <v>0.98342316075453562</v>
      </c>
      <c r="D2116" s="1100">
        <v>1.0098965360918053</v>
      </c>
      <c r="E2116" s="1100">
        <v>0.99404889618712067</v>
      </c>
      <c r="F2116" s="1100">
        <v>1.0244958975310232</v>
      </c>
      <c r="G2116" s="1100">
        <v>0.98255900100592186</v>
      </c>
      <c r="H2116" s="1100">
        <v>1.0358341616172637</v>
      </c>
      <c r="I2116" s="1100">
        <v>0.99479804297716423</v>
      </c>
      <c r="K2116">
        <v>1.3470107045683188</v>
      </c>
      <c r="L2116">
        <v>0</v>
      </c>
      <c r="M2116">
        <v>6.383916138124273E-4</v>
      </c>
      <c r="N2116">
        <v>5.7662220888130757E-2</v>
      </c>
      <c r="O2116">
        <v>7.8602745442304858E-3</v>
      </c>
      <c r="P2116">
        <v>1.6528479148143548E-2</v>
      </c>
      <c r="Q2116">
        <v>4.5237224854838531E-4</v>
      </c>
      <c r="R2116">
        <v>6.3657299884198229E-4</v>
      </c>
      <c r="S2116">
        <v>6.2044879230866455E-2</v>
      </c>
      <c r="T2116">
        <v>1.057849857507998</v>
      </c>
      <c r="U2116">
        <v>0</v>
      </c>
      <c r="V2116">
        <v>9.7286662212932334E-2</v>
      </c>
      <c r="W2116">
        <v>3.8014695517883161E-2</v>
      </c>
      <c r="X2116">
        <v>7.5805400279409657E-3</v>
      </c>
      <c r="Y2116">
        <v>1.7325418566152048E-3</v>
      </c>
    </row>
    <row r="2117" spans="1:25" x14ac:dyDescent="0.25">
      <c r="A2117" s="1096"/>
      <c r="B2117" s="1455">
        <v>1867</v>
      </c>
      <c r="C2117" s="1100">
        <v>1.0021216018459425</v>
      </c>
      <c r="D2117" s="1100">
        <v>0.96607267622315673</v>
      </c>
      <c r="E2117" s="1100">
        <v>1.0111548564798114</v>
      </c>
      <c r="F2117" s="1100">
        <v>1.0071877665191855</v>
      </c>
      <c r="G2117" s="1100">
        <v>1.0120724334378155</v>
      </c>
      <c r="H2117" s="1100">
        <v>1.029146164474481</v>
      </c>
      <c r="I2117" s="1100">
        <v>1.0227170916878063</v>
      </c>
      <c r="K2117">
        <v>1.3320166867323566</v>
      </c>
      <c r="L2117">
        <v>0</v>
      </c>
      <c r="M2117">
        <v>6.1148329522604827E-4</v>
      </c>
      <c r="N2117">
        <v>5.815956143162556E-2</v>
      </c>
      <c r="O2117">
        <v>7.8559656966159051E-3</v>
      </c>
      <c r="P2117">
        <v>1.6526481482654672E-2</v>
      </c>
      <c r="Q2117">
        <v>4.5995423051822679E-4</v>
      </c>
      <c r="R2117">
        <v>6.0973001491491528E-4</v>
      </c>
      <c r="S2117">
        <v>6.3903756865461264E-2</v>
      </c>
      <c r="T2117">
        <v>1.0394667482240036</v>
      </c>
      <c r="U2117">
        <v>0</v>
      </c>
      <c r="V2117">
        <v>9.8263363736482423E-2</v>
      </c>
      <c r="W2117">
        <v>3.7955514690972282E-2</v>
      </c>
      <c r="X2117">
        <v>7.7676095511812881E-3</v>
      </c>
      <c r="Y2117">
        <v>1.6594841031530015E-3</v>
      </c>
    </row>
    <row r="2118" spans="1:25" x14ac:dyDescent="0.25">
      <c r="A2118" s="1096"/>
      <c r="B2118" s="1455">
        <v>1868</v>
      </c>
      <c r="C2118" s="1100">
        <v>0.98490716234067943</v>
      </c>
      <c r="D2118" s="1100">
        <v>0.97967403271107123</v>
      </c>
      <c r="E2118" s="1100">
        <v>0.96080517748262517</v>
      </c>
      <c r="F2118" s="1100">
        <v>0.99498923315191157</v>
      </c>
      <c r="G2118" s="1100">
        <v>0.98216036541270313</v>
      </c>
      <c r="H2118" s="1100">
        <v>0.9922910869587781</v>
      </c>
      <c r="I2118" s="1100">
        <v>1.0145957745482035</v>
      </c>
      <c r="K2118">
        <v>1.3116899935890196</v>
      </c>
      <c r="L2118">
        <v>0</v>
      </c>
      <c r="M2118">
        <v>6.620648092570125E-4</v>
      </c>
      <c r="N2118">
        <v>5.4070302243195777E-2</v>
      </c>
      <c r="O2118">
        <v>7.9360741653145671E-3</v>
      </c>
      <c r="P2118">
        <v>1.5734087196596507E-2</v>
      </c>
      <c r="Q2118">
        <v>4.4153822547538354E-4</v>
      </c>
      <c r="R2118">
        <v>6.6009599279336941E-4</v>
      </c>
      <c r="S2118">
        <v>6.2803554015437649E-2</v>
      </c>
      <c r="T2118">
        <v>1.0283894371348328</v>
      </c>
      <c r="U2118">
        <v>0</v>
      </c>
      <c r="V2118">
        <v>9.7192641550377809E-2</v>
      </c>
      <c r="W2118">
        <v>3.6370963301506833E-2</v>
      </c>
      <c r="X2118">
        <v>6.9568008809464841E-3</v>
      </c>
      <c r="Y2118">
        <v>1.7965636917980088E-3</v>
      </c>
    </row>
    <row r="2119" spans="1:25" x14ac:dyDescent="0.25">
      <c r="A2119" s="1096"/>
      <c r="B2119" s="1455">
        <v>1869</v>
      </c>
      <c r="C2119" s="1100">
        <v>1.0080139122546592</v>
      </c>
      <c r="D2119" s="1100">
        <v>0.98313586164953481</v>
      </c>
      <c r="E2119" s="1100">
        <v>1.0117724199664675</v>
      </c>
      <c r="F2119" s="1100">
        <v>0.9938570371347899</v>
      </c>
      <c r="G2119" s="1100">
        <v>0.98515439091173596</v>
      </c>
      <c r="H2119" s="1100">
        <v>0.97622522958432467</v>
      </c>
      <c r="I2119" s="1100">
        <v>1.0075523107643953</v>
      </c>
      <c r="K2119">
        <v>1.3065904915084769</v>
      </c>
      <c r="L2119">
        <v>0</v>
      </c>
      <c r="M2119">
        <v>5.7189018927312476E-4</v>
      </c>
      <c r="N2119">
        <v>5.4486773369966289E-2</v>
      </c>
      <c r="O2119">
        <v>7.7556905873312444E-3</v>
      </c>
      <c r="P2119">
        <v>1.6276044864983932E-2</v>
      </c>
      <c r="Q2119">
        <v>4.5436346724169076E-4</v>
      </c>
      <c r="R2119">
        <v>5.7016154179354408E-4</v>
      </c>
      <c r="S2119">
        <v>6.0378615956915273E-2</v>
      </c>
      <c r="T2119">
        <v>1.0256907276932647</v>
      </c>
      <c r="U2119">
        <v>0</v>
      </c>
      <c r="V2119">
        <v>9.6817156793272963E-2</v>
      </c>
      <c r="W2119">
        <v>3.5545684426826908E-2</v>
      </c>
      <c r="X2119">
        <v>7.6353712330937519E-3</v>
      </c>
      <c r="Y2119">
        <v>1.5517917630602884E-3</v>
      </c>
    </row>
    <row r="2120" spans="1:25" x14ac:dyDescent="0.25">
      <c r="A2120" s="1096"/>
      <c r="B2120" s="1455">
        <v>1870</v>
      </c>
      <c r="C2120" s="1100">
        <v>1.0264351593702796</v>
      </c>
      <c r="D2120" s="1100">
        <v>0.98206165288237834</v>
      </c>
      <c r="E2120" s="1100">
        <v>0.97603988733993197</v>
      </c>
      <c r="F2120" s="1100">
        <v>0.98675156223159055</v>
      </c>
      <c r="G2120" s="1100">
        <v>1.0283049283583372</v>
      </c>
      <c r="H2120" s="1100">
        <v>1.0304431430292131</v>
      </c>
      <c r="I2120" s="1100">
        <v>1.0006936216551934</v>
      </c>
      <c r="K2120">
        <v>1.3020175625591797</v>
      </c>
      <c r="L2120">
        <v>0</v>
      </c>
      <c r="M2120">
        <v>6.3866140693389869E-4</v>
      </c>
      <c r="N2120">
        <v>5.4627687436898255E-2</v>
      </c>
      <c r="O2120">
        <v>7.611232795972929E-3</v>
      </c>
      <c r="P2120">
        <v>1.5784832989401632E-2</v>
      </c>
      <c r="Q2120">
        <v>4.3011639583566657E-4</v>
      </c>
      <c r="R2120">
        <v>6.3683250483588462E-4</v>
      </c>
      <c r="S2120">
        <v>6.0517277333937511E-2</v>
      </c>
      <c r="T2120">
        <v>1.0194135767639678</v>
      </c>
      <c r="U2120">
        <v>0</v>
      </c>
      <c r="V2120">
        <v>9.8423758640851275E-2</v>
      </c>
      <c r="W2120">
        <v>3.6406322504294743E-2</v>
      </c>
      <c r="X2120">
        <v>7.0713384537333694E-3</v>
      </c>
      <c r="Y2120">
        <v>1.7332481463844794E-3</v>
      </c>
    </row>
    <row r="2121" spans="1:25" x14ac:dyDescent="0.25">
      <c r="A2121" s="1096"/>
      <c r="B2121" s="1455">
        <v>1871</v>
      </c>
      <c r="C2121" s="1100">
        <v>0.99218163843193741</v>
      </c>
      <c r="D2121" s="1100">
        <v>0.99817010845572796</v>
      </c>
      <c r="E2121" s="1100">
        <v>1.0261127092397533</v>
      </c>
      <c r="F2121" s="1100">
        <v>0.9742373435060302</v>
      </c>
      <c r="G2121" s="1100">
        <v>0.97495172494152649</v>
      </c>
      <c r="H2121" s="1100">
        <v>1.0212299580370725</v>
      </c>
      <c r="I2121" s="1100">
        <v>0.96294635693984032</v>
      </c>
      <c r="K2121">
        <v>1.2911856782197961</v>
      </c>
      <c r="L2121">
        <v>0</v>
      </c>
      <c r="M2121">
        <v>5.8636630774520741E-4</v>
      </c>
      <c r="N2121">
        <v>5.8343863859192657E-2</v>
      </c>
      <c r="O2121">
        <v>7.8353214462742252E-3</v>
      </c>
      <c r="P2121">
        <v>1.614753077702219E-2</v>
      </c>
      <c r="Q2121">
        <v>4.6562341933143315E-4</v>
      </c>
      <c r="R2121">
        <v>5.8467201176699867E-4</v>
      </c>
      <c r="S2121">
        <v>5.9498158318114565E-2</v>
      </c>
      <c r="T2121">
        <v>1.0050346248482154</v>
      </c>
      <c r="U2121">
        <v>0</v>
      </c>
      <c r="V2121">
        <v>9.6731988018464735E-2</v>
      </c>
      <c r="W2121">
        <v>3.7743682069280464E-2</v>
      </c>
      <c r="X2121">
        <v>7.7952952809258744E-3</v>
      </c>
      <c r="Y2121">
        <v>1.5912844789528911E-3</v>
      </c>
    </row>
    <row r="2122" spans="1:25" x14ac:dyDescent="0.25">
      <c r="A2122" s="1096"/>
      <c r="B2122" s="1455">
        <v>1872</v>
      </c>
      <c r="C2122" s="1100">
        <v>0.99708411020505305</v>
      </c>
      <c r="D2122" s="1100">
        <v>1.0200084435687238</v>
      </c>
      <c r="E2122" s="1100">
        <v>1.0115033154942648</v>
      </c>
      <c r="F2122" s="1100">
        <v>1.0029263132488428</v>
      </c>
      <c r="G2122" s="1100">
        <v>1.0126925809761465</v>
      </c>
      <c r="H2122" s="1100">
        <v>1.0332681102388062</v>
      </c>
      <c r="I2122" s="1100">
        <v>1.0200599142306821</v>
      </c>
      <c r="K2122">
        <v>1.3247372020009791</v>
      </c>
      <c r="L2122">
        <v>0</v>
      </c>
      <c r="M2122">
        <v>6.0333308899281199E-4</v>
      </c>
      <c r="N2122">
        <v>5.7445429870870139E-2</v>
      </c>
      <c r="O2122">
        <v>7.7260126089764977E-3</v>
      </c>
      <c r="P2122">
        <v>1.6450905420062778E-2</v>
      </c>
      <c r="Q2122">
        <v>4.525031638941097E-4</v>
      </c>
      <c r="R2122">
        <v>6.0161007844275439E-4</v>
      </c>
      <c r="S2122">
        <v>6.2354184956621421E-2</v>
      </c>
      <c r="T2122">
        <v>1.0350584367528231</v>
      </c>
      <c r="U2122">
        <v>0</v>
      </c>
      <c r="V2122">
        <v>9.8418725326773371E-2</v>
      </c>
      <c r="W2122">
        <v>3.7481770844811572E-2</v>
      </c>
      <c r="X2122">
        <v>7.7135717538843653E-3</v>
      </c>
      <c r="Y2122">
        <v>1.6373843128121193E-3</v>
      </c>
    </row>
    <row r="2123" spans="1:25" x14ac:dyDescent="0.25">
      <c r="A2123" s="1096"/>
      <c r="B2123" s="1455">
        <v>1873</v>
      </c>
      <c r="C2123" s="1100">
        <v>1.0138281962372264</v>
      </c>
      <c r="D2123" s="1100">
        <v>0.99563931986655041</v>
      </c>
      <c r="E2123" s="1100">
        <v>0.98597870203540461</v>
      </c>
      <c r="F2123" s="1100">
        <v>0.98010538557314997</v>
      </c>
      <c r="G2123" s="1100">
        <v>1.0008936129600108</v>
      </c>
      <c r="H2123" s="1100">
        <v>1.0093309315937984</v>
      </c>
      <c r="I2123" s="1100">
        <v>1.0164641866470732</v>
      </c>
      <c r="K2123">
        <v>1.2939915897488901</v>
      </c>
      <c r="L2123">
        <v>0</v>
      </c>
      <c r="M2123">
        <v>6.1707123280397983E-4</v>
      </c>
      <c r="N2123">
        <v>5.4388898119054986E-2</v>
      </c>
      <c r="O2123">
        <v>7.6660741903604689E-3</v>
      </c>
      <c r="P2123">
        <v>1.5802444572156796E-2</v>
      </c>
      <c r="Q2123">
        <v>4.3761148133327317E-4</v>
      </c>
      <c r="R2123">
        <v>6.1526719540635068E-4</v>
      </c>
      <c r="S2123">
        <v>6.1142773058485006E-2</v>
      </c>
      <c r="T2123">
        <v>1.0122519360419182</v>
      </c>
      <c r="U2123">
        <v>0</v>
      </c>
      <c r="V2123">
        <v>9.7408968633641041E-2</v>
      </c>
      <c r="W2123">
        <v>3.603047649970427E-2</v>
      </c>
      <c r="X2123">
        <v>7.1896567065118039E-3</v>
      </c>
      <c r="Y2123">
        <v>1.6745544831196304E-3</v>
      </c>
    </row>
    <row r="2124" spans="1:25" x14ac:dyDescent="0.25">
      <c r="A2124" s="1096"/>
      <c r="B2124" s="1455">
        <v>1874</v>
      </c>
      <c r="C2124" s="1100">
        <v>0.97599877693915194</v>
      </c>
      <c r="D2124" s="1100">
        <v>0.98367013427800487</v>
      </c>
      <c r="E2124" s="1100">
        <v>1.0080163183755133</v>
      </c>
      <c r="F2124" s="1100">
        <v>1.0261217709175534</v>
      </c>
      <c r="G2124" s="1100">
        <v>0.99421020318816922</v>
      </c>
      <c r="H2124" s="1100">
        <v>1.0113138063513951</v>
      </c>
      <c r="I2124" s="1100">
        <v>1.0309276300006904</v>
      </c>
      <c r="K2124">
        <v>1.3529053254060728</v>
      </c>
      <c r="L2124">
        <v>0</v>
      </c>
      <c r="M2124">
        <v>6.1653865776818142E-4</v>
      </c>
      <c r="N2124">
        <v>5.8084418764882351E-2</v>
      </c>
      <c r="O2124">
        <v>8.0074031816183781E-3</v>
      </c>
      <c r="P2124">
        <v>1.6768736297665902E-2</v>
      </c>
      <c r="Q2124">
        <v>4.6735174238879455E-4</v>
      </c>
      <c r="R2124">
        <v>6.1473971148790136E-4</v>
      </c>
      <c r="S2124">
        <v>6.4922750044524996E-2</v>
      </c>
      <c r="T2124">
        <v>1.0591025019967333</v>
      </c>
      <c r="U2124">
        <v>0</v>
      </c>
      <c r="V2124">
        <v>9.8057674450091087E-2</v>
      </c>
      <c r="W2124">
        <v>3.7976718074080026E-2</v>
      </c>
      <c r="X2124">
        <v>7.8464509545872994E-3</v>
      </c>
      <c r="Y2124">
        <v>1.6731188457786393E-3</v>
      </c>
    </row>
    <row r="2125" spans="1:25" x14ac:dyDescent="0.25">
      <c r="A2125" s="1096"/>
      <c r="B2125" s="1455">
        <v>1875</v>
      </c>
      <c r="C2125" s="1100">
        <v>0.99455576530279488</v>
      </c>
      <c r="D2125" s="1100">
        <v>1.0033482132410732</v>
      </c>
      <c r="E2125" s="1100">
        <v>1.0008452395023297</v>
      </c>
      <c r="F2125" s="1100">
        <v>0.95822638899947654</v>
      </c>
      <c r="G2125" s="1100">
        <v>1.0110185619110459</v>
      </c>
      <c r="H2125" s="1100">
        <v>0.98847473888223159</v>
      </c>
      <c r="I2125" s="1100">
        <v>0.98585487035063502</v>
      </c>
      <c r="K2125">
        <v>1.2709827993303557</v>
      </c>
      <c r="L2125">
        <v>0</v>
      </c>
      <c r="M2125">
        <v>5.9550274976999731E-4</v>
      </c>
      <c r="N2125">
        <v>5.4896878343570543E-2</v>
      </c>
      <c r="O2125">
        <v>7.7942154206994277E-3</v>
      </c>
      <c r="P2125">
        <v>1.5657648786430143E-2</v>
      </c>
      <c r="Q2125">
        <v>4.5164971933181648E-4</v>
      </c>
      <c r="R2125">
        <v>5.9372503527133763E-4</v>
      </c>
      <c r="S2125">
        <v>5.9585408224500813E-2</v>
      </c>
      <c r="T2125">
        <v>0.98922850941993612</v>
      </c>
      <c r="U2125">
        <v>0</v>
      </c>
      <c r="V2125">
        <v>9.8388950161150956E-2</v>
      </c>
      <c r="W2125">
        <v>3.6045410805509749E-2</v>
      </c>
      <c r="X2125">
        <v>7.3199823391210724E-3</v>
      </c>
      <c r="Y2125">
        <v>1.6159238246033049E-3</v>
      </c>
    </row>
    <row r="2126" spans="1:25" x14ac:dyDescent="0.25">
      <c r="A2126" s="1096"/>
      <c r="B2126" s="1455">
        <v>1876</v>
      </c>
      <c r="C2126" s="1100">
        <v>0.98709849333737276</v>
      </c>
      <c r="D2126" s="1100">
        <v>0.96592641402964408</v>
      </c>
      <c r="E2126" s="1100">
        <v>1.0330802093472662</v>
      </c>
      <c r="F2126" s="1100">
        <v>1.011036543532337</v>
      </c>
      <c r="G2126" s="1100">
        <v>1.0296281376021734</v>
      </c>
      <c r="H2126" s="1100">
        <v>1.0010871360141016</v>
      </c>
      <c r="I2126" s="1100">
        <v>1.0182389102834137</v>
      </c>
      <c r="K2126">
        <v>1.3374521041662044</v>
      </c>
      <c r="L2126">
        <v>0</v>
      </c>
      <c r="M2126">
        <v>5.7696201151124539E-4</v>
      </c>
      <c r="N2126">
        <v>5.8623302726697218E-2</v>
      </c>
      <c r="O2126">
        <v>7.9815595079898681E-3</v>
      </c>
      <c r="P2126">
        <v>1.6855153679879699E-2</v>
      </c>
      <c r="Q2126">
        <v>4.7759322361255074E-4</v>
      </c>
      <c r="R2126">
        <v>5.7526134501201709E-4</v>
      </c>
      <c r="S2126">
        <v>6.3723773415212126E-2</v>
      </c>
      <c r="T2126">
        <v>1.0427936163245197</v>
      </c>
      <c r="U2126">
        <v>0</v>
      </c>
      <c r="V2126">
        <v>9.9514177395402012E-2</v>
      </c>
      <c r="W2126">
        <v>3.7771333072401214E-2</v>
      </c>
      <c r="X2126">
        <v>8.1476237407159691E-3</v>
      </c>
      <c r="Y2126">
        <v>1.5656717462712926E-3</v>
      </c>
    </row>
    <row r="2127" spans="1:25" x14ac:dyDescent="0.25">
      <c r="A2127" s="1096"/>
      <c r="B2127" s="1455">
        <v>1877</v>
      </c>
      <c r="C2127" s="1100">
        <v>1.0215236981533906</v>
      </c>
      <c r="D2127" s="1100">
        <v>1.0235317849288568</v>
      </c>
      <c r="E2127" s="1100">
        <v>0.99076281558382817</v>
      </c>
      <c r="F2127" s="1100">
        <v>0.96832727678539643</v>
      </c>
      <c r="G2127" s="1100">
        <v>0.96491059250245559</v>
      </c>
      <c r="H2127" s="1100">
        <v>0.99729294516918221</v>
      </c>
      <c r="I2127" s="1100">
        <v>0.97342421976776705</v>
      </c>
      <c r="K2127">
        <v>1.2726557551244553</v>
      </c>
      <c r="L2127">
        <v>0</v>
      </c>
      <c r="M2127">
        <v>5.9256867233255846E-4</v>
      </c>
      <c r="N2127">
        <v>5.2988407156519576E-2</v>
      </c>
      <c r="O2127">
        <v>7.5258373968736369E-3</v>
      </c>
      <c r="P2127">
        <v>1.5609603435442444E-2</v>
      </c>
      <c r="Q2127">
        <v>4.3169051178374975E-4</v>
      </c>
      <c r="R2127">
        <v>5.9081535809622852E-4</v>
      </c>
      <c r="S2127">
        <v>5.6916774010440131E-2</v>
      </c>
      <c r="T2127">
        <v>0.99994801871867112</v>
      </c>
      <c r="U2127">
        <v>0</v>
      </c>
      <c r="V2127">
        <v>9.5489492608334559E-2</v>
      </c>
      <c r="W2127">
        <v>3.5002118148240183E-2</v>
      </c>
      <c r="X2127">
        <v>7.1375618098773221E-3</v>
      </c>
      <c r="Y2127">
        <v>1.6080046425074807E-3</v>
      </c>
    </row>
    <row r="2128" spans="1:25" x14ac:dyDescent="0.25">
      <c r="A2128" s="1096"/>
      <c r="B2128" s="1455">
        <v>1878</v>
      </c>
      <c r="C2128" s="1100">
        <v>1.0210604339786302</v>
      </c>
      <c r="D2128" s="1100">
        <v>1.0194180117838469</v>
      </c>
      <c r="E2128" s="1100">
        <v>0.99615163237748661</v>
      </c>
      <c r="F2128" s="1100">
        <v>0.99896475976191024</v>
      </c>
      <c r="G2128" s="1100">
        <v>1.0099273652173588</v>
      </c>
      <c r="H2128" s="1100">
        <v>0.97420865768270359</v>
      </c>
      <c r="I2128" s="1100">
        <v>0.99295436959327898</v>
      </c>
      <c r="K2128">
        <v>1.3061456516182002</v>
      </c>
      <c r="L2128">
        <v>0</v>
      </c>
      <c r="M2128">
        <v>5.7360762944480624E-4</v>
      </c>
      <c r="N2128">
        <v>5.2131546298822981E-2</v>
      </c>
      <c r="O2128">
        <v>7.5426749908246698E-3</v>
      </c>
      <c r="P2128">
        <v>1.6139211919888808E-2</v>
      </c>
      <c r="Q2128">
        <v>4.3501483205621099E-4</v>
      </c>
      <c r="R2128">
        <v>5.7187020169878965E-4</v>
      </c>
      <c r="S2128">
        <v>5.7535423956864229E-2</v>
      </c>
      <c r="T2128">
        <v>1.0314246860198093</v>
      </c>
      <c r="U2128">
        <v>0</v>
      </c>
      <c r="V2128">
        <v>9.7684106446671568E-2</v>
      </c>
      <c r="W2128">
        <v>3.4325422618597924E-2</v>
      </c>
      <c r="X2128">
        <v>7.3728597903461634E-3</v>
      </c>
      <c r="Y2128">
        <v>1.5564421720627808E-3</v>
      </c>
    </row>
    <row r="2129" spans="1:25" x14ac:dyDescent="0.25">
      <c r="A2129" s="1096"/>
      <c r="B2129" s="1455">
        <v>1879</v>
      </c>
      <c r="C2129" s="1100">
        <v>1.0342497343399837</v>
      </c>
      <c r="D2129" s="1100">
        <v>0.98327967699065799</v>
      </c>
      <c r="E2129" s="1100">
        <v>0.98724883060715929</v>
      </c>
      <c r="F2129" s="1100">
        <v>1.0374397679942928</v>
      </c>
      <c r="G2129" s="1100">
        <v>0.9808502411960297</v>
      </c>
      <c r="H2129" s="1100">
        <v>1.0404941829698158</v>
      </c>
      <c r="I2129" s="1100">
        <v>0.98063034755482803</v>
      </c>
      <c r="K2129">
        <v>1.3521256727629389</v>
      </c>
      <c r="L2129">
        <v>0</v>
      </c>
      <c r="M2129">
        <v>6.2504099429530136E-4</v>
      </c>
      <c r="N2129">
        <v>5.5308231455472638E-2</v>
      </c>
      <c r="O2129">
        <v>7.5526502035802561E-3</v>
      </c>
      <c r="P2129">
        <v>1.657005992318793E-2</v>
      </c>
      <c r="Q2129">
        <v>4.316916598882069E-4</v>
      </c>
      <c r="R2129">
        <v>6.2326838646285299E-4</v>
      </c>
      <c r="S2129">
        <v>5.9120367320675125E-2</v>
      </c>
      <c r="T2129">
        <v>1.0714270856559849</v>
      </c>
      <c r="U2129">
        <v>0</v>
      </c>
      <c r="V2129">
        <v>9.5958246068967135E-2</v>
      </c>
      <c r="W2129">
        <v>3.6611555617073757E-2</v>
      </c>
      <c r="X2129">
        <v>7.4512263783568502E-3</v>
      </c>
      <c r="Y2129">
        <v>1.6963310875835068E-3</v>
      </c>
    </row>
    <row r="2130" spans="1:25" x14ac:dyDescent="0.25">
      <c r="A2130" s="1096"/>
      <c r="B2130" s="1455">
        <v>1880</v>
      </c>
      <c r="C2130" s="1100">
        <v>1.0404662652389891</v>
      </c>
      <c r="D2130" s="1100">
        <v>1.0236225581805243</v>
      </c>
      <c r="E2130" s="1100">
        <v>0.9842061316823616</v>
      </c>
      <c r="F2130" s="1100">
        <v>0.98934166122957123</v>
      </c>
      <c r="G2130" s="1100">
        <v>0.98937051560552369</v>
      </c>
      <c r="H2130" s="1100">
        <v>0.98625522388437148</v>
      </c>
      <c r="I2130" s="1100">
        <v>0.99526867271027097</v>
      </c>
      <c r="K2130">
        <v>1.2922427629491038</v>
      </c>
      <c r="L2130">
        <v>0</v>
      </c>
      <c r="M2130">
        <v>5.8318370457329253E-4</v>
      </c>
      <c r="N2130">
        <v>5.1123692147530368E-2</v>
      </c>
      <c r="O2130">
        <v>7.3870316007716543E-3</v>
      </c>
      <c r="P2130">
        <v>1.5836101296238549E-2</v>
      </c>
      <c r="Q2130">
        <v>4.2092567620071169E-4</v>
      </c>
      <c r="R2130">
        <v>5.8143884740430112E-4</v>
      </c>
      <c r="S2130">
        <v>5.6806498127022716E-2</v>
      </c>
      <c r="T2130">
        <v>1.021844132067121</v>
      </c>
      <c r="U2130">
        <v>0</v>
      </c>
      <c r="V2130">
        <v>9.6223938787547036E-2</v>
      </c>
      <c r="W2130">
        <v>3.3903529976414402E-2</v>
      </c>
      <c r="X2130">
        <v>7.1161732560570947E-3</v>
      </c>
      <c r="Y2130">
        <v>1.5824848713699735E-3</v>
      </c>
    </row>
    <row r="2131" spans="1:25" x14ac:dyDescent="0.25">
      <c r="A2131" s="1096"/>
      <c r="B2131" s="1455">
        <v>1881</v>
      </c>
      <c r="C2131" s="1100">
        <v>0.99734251600489576</v>
      </c>
      <c r="D2131" s="1100">
        <v>0.97777446500805554</v>
      </c>
      <c r="E2131" s="1100">
        <v>0.98646474231241665</v>
      </c>
      <c r="F2131" s="1100">
        <v>0.99817332085481214</v>
      </c>
      <c r="G2131" s="1100">
        <v>1.0006957714569835</v>
      </c>
      <c r="H2131" s="1100">
        <v>1.016894190911545</v>
      </c>
      <c r="I2131" s="1100">
        <v>0.97220320697990603</v>
      </c>
      <c r="K2131">
        <v>1.3156662572529758</v>
      </c>
      <c r="L2131">
        <v>0</v>
      </c>
      <c r="M2131">
        <v>6.3592506977140487E-4</v>
      </c>
      <c r="N2131">
        <v>5.6134357380269492E-2</v>
      </c>
      <c r="O2131">
        <v>7.8495553015222944E-3</v>
      </c>
      <c r="P2131">
        <v>1.6053320724465161E-2</v>
      </c>
      <c r="Q2131">
        <v>4.4830599696522991E-4</v>
      </c>
      <c r="R2131">
        <v>6.3407973995826931E-4</v>
      </c>
      <c r="S2131">
        <v>6.0254436458393873E-2</v>
      </c>
      <c r="T2131">
        <v>1.0308978427057605</v>
      </c>
      <c r="U2131">
        <v>0</v>
      </c>
      <c r="V2131">
        <v>9.7803911234643215E-2</v>
      </c>
      <c r="W2131">
        <v>3.7175915243623861E-2</v>
      </c>
      <c r="X2131">
        <v>7.3247015093067134E-3</v>
      </c>
      <c r="Y2131">
        <v>1.7257560278363087E-3</v>
      </c>
    </row>
    <row r="2132" spans="1:25" x14ac:dyDescent="0.25">
      <c r="A2132" s="1096"/>
      <c r="B2132" s="1455">
        <v>1882</v>
      </c>
      <c r="C2132" s="1100">
        <v>1.0267199385205965</v>
      </c>
      <c r="D2132" s="1100">
        <v>1.0245696977885117</v>
      </c>
      <c r="E2132" s="1100">
        <v>0.99365068540507939</v>
      </c>
      <c r="F2132" s="1100">
        <v>0.97997608371190503</v>
      </c>
      <c r="G2132" s="1100">
        <v>0.96696573462417401</v>
      </c>
      <c r="H2132" s="1100">
        <v>1.0249271367097379</v>
      </c>
      <c r="I2132" s="1100">
        <v>0.97386935094576021</v>
      </c>
      <c r="K2132">
        <v>1.2875046491653801</v>
      </c>
      <c r="L2132">
        <v>0</v>
      </c>
      <c r="M2132">
        <v>6.020477118798736E-4</v>
      </c>
      <c r="N2132">
        <v>5.4312422138665328E-2</v>
      </c>
      <c r="O2132">
        <v>7.4853969639945136E-3</v>
      </c>
      <c r="P2132">
        <v>1.5812190906228589E-2</v>
      </c>
      <c r="Q2132">
        <v>4.3062441204590819E-4</v>
      </c>
      <c r="R2132">
        <v>6.0031437995290064E-4</v>
      </c>
      <c r="S2132">
        <v>5.741905211921678E-2</v>
      </c>
      <c r="T2132">
        <v>1.011892323160589</v>
      </c>
      <c r="U2132">
        <v>0</v>
      </c>
      <c r="V2132">
        <v>9.5469294490191162E-2</v>
      </c>
      <c r="W2132">
        <v>3.5814806507598634E-2</v>
      </c>
      <c r="X2132">
        <v>7.2364139501275362E-3</v>
      </c>
      <c r="Y2132">
        <v>1.6338578486496289E-3</v>
      </c>
    </row>
    <row r="2133" spans="1:25" x14ac:dyDescent="0.25">
      <c r="A2133" s="1096"/>
      <c r="B2133" s="1455">
        <v>1883</v>
      </c>
      <c r="C2133" s="1100">
        <v>1.0279550214941282</v>
      </c>
      <c r="D2133" s="1100">
        <v>0.9645959128335555</v>
      </c>
      <c r="E2133" s="1100">
        <v>0.99832942920883638</v>
      </c>
      <c r="F2133" s="1100">
        <v>1.0328369974492295</v>
      </c>
      <c r="G2133" s="1100">
        <v>1.0039437084561162</v>
      </c>
      <c r="H2133" s="1100">
        <v>1.0260622046077204</v>
      </c>
      <c r="I2133" s="1100">
        <v>1.0150216910765861</v>
      </c>
      <c r="K2133">
        <v>1.3520496847918253</v>
      </c>
      <c r="L2133">
        <v>0</v>
      </c>
      <c r="M2133">
        <v>6.1073901783009873E-4</v>
      </c>
      <c r="N2133">
        <v>5.5881247109339949E-2</v>
      </c>
      <c r="O2133">
        <v>7.6601166848040596E-3</v>
      </c>
      <c r="P2133">
        <v>1.669262405468987E-2</v>
      </c>
      <c r="Q2133">
        <v>4.4275779164614415E-4</v>
      </c>
      <c r="R2133">
        <v>6.0898260826236495E-4</v>
      </c>
      <c r="S2133">
        <v>6.1772564820364938E-2</v>
      </c>
      <c r="T2133">
        <v>1.0663304175414845</v>
      </c>
      <c r="U2133">
        <v>0</v>
      </c>
      <c r="V2133">
        <v>9.7234267206774472E-2</v>
      </c>
      <c r="W2133">
        <v>3.6746672151217803E-2</v>
      </c>
      <c r="X2133">
        <v>7.6333239324426691E-3</v>
      </c>
      <c r="Y2133">
        <v>1.6574499086272972E-3</v>
      </c>
    </row>
    <row r="2134" spans="1:25" x14ac:dyDescent="0.25">
      <c r="A2134" s="1096"/>
      <c r="B2134" s="1455">
        <v>1884</v>
      </c>
      <c r="C2134" s="1100">
        <v>1.0019107869719799</v>
      </c>
      <c r="D2134" s="1100">
        <v>0.97495433045197366</v>
      </c>
      <c r="E2134" s="1100">
        <v>1.009346380323189</v>
      </c>
      <c r="F2134" s="1100">
        <v>1.0327728943239474</v>
      </c>
      <c r="G2134" s="1100">
        <v>1.0082765347138358</v>
      </c>
      <c r="H2134" s="1100">
        <v>1.0491946369256739</v>
      </c>
      <c r="I2134" s="1100">
        <v>0.97687820953632321</v>
      </c>
      <c r="K2134">
        <v>1.3575574096749827</v>
      </c>
      <c r="L2134">
        <v>0</v>
      </c>
      <c r="M2134">
        <v>6.2358683779624522E-4</v>
      </c>
      <c r="N2134">
        <v>5.8991062243995022E-2</v>
      </c>
      <c r="O2134">
        <v>7.8284591583884164E-3</v>
      </c>
      <c r="P2134">
        <v>1.6830304222810392E-2</v>
      </c>
      <c r="Q2134">
        <v>4.5751602521487369E-4</v>
      </c>
      <c r="R2134">
        <v>6.2183301909698823E-4</v>
      </c>
      <c r="S2134">
        <v>6.1355364086005733E-2</v>
      </c>
      <c r="T2134">
        <v>1.0659268681487277</v>
      </c>
      <c r="U2134">
        <v>0</v>
      </c>
      <c r="V2134">
        <v>9.8082891114399232E-2</v>
      </c>
      <c r="W2134">
        <v>3.8539229295249007E-2</v>
      </c>
      <c r="X2134">
        <v>7.8550447081080759E-3</v>
      </c>
      <c r="Y2134">
        <v>1.6924244907823485E-3</v>
      </c>
    </row>
    <row r="2135" spans="1:25" x14ac:dyDescent="0.25">
      <c r="A2135" s="1096"/>
      <c r="B2135" s="1455">
        <v>1885</v>
      </c>
      <c r="C2135" s="1100">
        <v>1.0068830431013605</v>
      </c>
      <c r="D2135" s="1100">
        <v>0.99015269101365921</v>
      </c>
      <c r="E2135" s="1100">
        <v>1.0151683301377412</v>
      </c>
      <c r="F2135" s="1100">
        <v>0.98846197246577572</v>
      </c>
      <c r="G2135" s="1100">
        <v>1.0140501573228835</v>
      </c>
      <c r="H2135" s="1100">
        <v>0.99509598223270335</v>
      </c>
      <c r="I2135" s="1100">
        <v>1.0235683968071621</v>
      </c>
      <c r="K2135">
        <v>1.3055965608469458</v>
      </c>
      <c r="L2135">
        <v>0</v>
      </c>
      <c r="M2135">
        <v>5.7784858994620728E-4</v>
      </c>
      <c r="N2135">
        <v>5.5624847215132535E-2</v>
      </c>
      <c r="O2135">
        <v>7.7431779299388728E-3</v>
      </c>
      <c r="P2135">
        <v>1.6277529716070747E-2</v>
      </c>
      <c r="Q2135">
        <v>4.5517001239545795E-4</v>
      </c>
      <c r="R2135">
        <v>5.7613505524656424E-4</v>
      </c>
      <c r="S2135">
        <v>6.1764207300999477E-2</v>
      </c>
      <c r="T2135">
        <v>1.020024287944387</v>
      </c>
      <c r="U2135">
        <v>0</v>
      </c>
      <c r="V2135">
        <v>9.8246587862777873E-2</v>
      </c>
      <c r="W2135">
        <v>3.6215736870080721E-2</v>
      </c>
      <c r="X2135">
        <v>7.678679832349173E-3</v>
      </c>
      <c r="Y2135">
        <v>1.5680496975112286E-3</v>
      </c>
    </row>
    <row r="2136" spans="1:25" x14ac:dyDescent="0.25">
      <c r="A2136" s="1096"/>
      <c r="B2136" s="1455">
        <v>1886</v>
      </c>
      <c r="C2136" s="1100">
        <v>1.0061250725797273</v>
      </c>
      <c r="D2136" s="1100">
        <v>0.98103568122942064</v>
      </c>
      <c r="E2136" s="1100">
        <v>0.97437519206324497</v>
      </c>
      <c r="F2136" s="1100">
        <v>0.98282954932241218</v>
      </c>
      <c r="G2136" s="1100">
        <v>0.981232677044379</v>
      </c>
      <c r="H2136" s="1100">
        <v>0.97745752855025314</v>
      </c>
      <c r="I2136" s="1100">
        <v>0.99844011249686382</v>
      </c>
      <c r="K2136">
        <v>1.2926849993903005</v>
      </c>
      <c r="L2136">
        <v>0</v>
      </c>
      <c r="M2136">
        <v>6.2043952809695503E-4</v>
      </c>
      <c r="N2136">
        <v>5.2794144831515386E-2</v>
      </c>
      <c r="O2136">
        <v>7.7677160791722434E-3</v>
      </c>
      <c r="P2136">
        <v>1.5680565237546722E-2</v>
      </c>
      <c r="Q2136">
        <v>4.3821531264135095E-4</v>
      </c>
      <c r="R2136">
        <v>6.1856649530320728E-4</v>
      </c>
      <c r="S2136">
        <v>6.0015426163749705E-2</v>
      </c>
      <c r="T2136">
        <v>1.0154116550739487</v>
      </c>
      <c r="U2136">
        <v>0</v>
      </c>
      <c r="V2136">
        <v>9.6632288180636211E-2</v>
      </c>
      <c r="W2136">
        <v>3.5219887372871982E-2</v>
      </c>
      <c r="X2136">
        <v>7.0434400811854063E-3</v>
      </c>
      <c r="Y2136">
        <v>1.6835340898249556E-3</v>
      </c>
    </row>
    <row r="2137" spans="1:25" x14ac:dyDescent="0.25">
      <c r="A2137" s="1096"/>
      <c r="B2137" s="1455">
        <v>1887</v>
      </c>
      <c r="C2137" s="1100">
        <v>1.026433586535664</v>
      </c>
      <c r="D2137" s="1100">
        <v>1.0201455340076835</v>
      </c>
      <c r="E2137" s="1100">
        <v>0.9942718179361143</v>
      </c>
      <c r="F2137" s="1100">
        <v>0.99455569732822857</v>
      </c>
      <c r="G2137" s="1100">
        <v>1.0222220557475927</v>
      </c>
      <c r="H2137" s="1100">
        <v>0.98785663379184552</v>
      </c>
      <c r="I2137" s="1100">
        <v>1.0025009112850414</v>
      </c>
      <c r="K2137">
        <v>1.303214772148882</v>
      </c>
      <c r="L2137">
        <v>0</v>
      </c>
      <c r="M2137">
        <v>5.8069181324971533E-4</v>
      </c>
      <c r="N2137">
        <v>5.2478601483606391E-2</v>
      </c>
      <c r="O2137">
        <v>7.5006042678943405E-3</v>
      </c>
      <c r="P2137">
        <v>1.6070304485102271E-2</v>
      </c>
      <c r="Q2137">
        <v>4.317696606607366E-4</v>
      </c>
      <c r="R2137">
        <v>5.7895722819166625E-4</v>
      </c>
      <c r="S2137">
        <v>5.8164353573876816E-2</v>
      </c>
      <c r="T2137">
        <v>1.0269282725934472</v>
      </c>
      <c r="U2137">
        <v>0</v>
      </c>
      <c r="V2137">
        <v>9.8149733278137127E-2</v>
      </c>
      <c r="W2137">
        <v>3.4592710868510401E-2</v>
      </c>
      <c r="X2137">
        <v>7.324425800764851E-3</v>
      </c>
      <c r="Y2137">
        <v>1.5757307219387356E-3</v>
      </c>
    </row>
    <row r="2138" spans="1:25" x14ac:dyDescent="0.25">
      <c r="A2138" s="1096"/>
      <c r="B2138" s="1455">
        <v>1888</v>
      </c>
      <c r="C2138" s="1100">
        <v>1.0259203191778596</v>
      </c>
      <c r="D2138" s="1100">
        <v>1.0295930239051723</v>
      </c>
      <c r="E2138" s="1100">
        <v>0.98448593070727652</v>
      </c>
      <c r="F2138" s="1100">
        <v>0.9790089962856775</v>
      </c>
      <c r="G2138" s="1100">
        <v>0.98687128115590206</v>
      </c>
      <c r="H2138" s="1100">
        <v>0.99229295254933514</v>
      </c>
      <c r="I2138" s="1100">
        <v>1.0481446208250065</v>
      </c>
      <c r="K2138">
        <v>1.2872219494884378</v>
      </c>
      <c r="L2138">
        <v>0</v>
      </c>
      <c r="M2138">
        <v>5.9334680008692501E-4</v>
      </c>
      <c r="N2138">
        <v>5.2059610113141211E-2</v>
      </c>
      <c r="O2138">
        <v>7.4744263549717874E-3</v>
      </c>
      <c r="P2138">
        <v>1.5750517033358769E-2</v>
      </c>
      <c r="Q2138">
        <v>4.2602642537675203E-4</v>
      </c>
      <c r="R2138">
        <v>5.9158233724879411E-4</v>
      </c>
      <c r="S2138">
        <v>6.067006863178042E-2</v>
      </c>
      <c r="T2138">
        <v>1.0111637304656762</v>
      </c>
      <c r="U2138">
        <v>0</v>
      </c>
      <c r="V2138">
        <v>9.6440983048526427E-2</v>
      </c>
      <c r="W2138">
        <v>3.4518387304612944E-2</v>
      </c>
      <c r="X2138">
        <v>7.1098724669043213E-3</v>
      </c>
      <c r="Y2138">
        <v>1.610092106926155E-3</v>
      </c>
    </row>
    <row r="2139" spans="1:25" x14ac:dyDescent="0.25">
      <c r="A2139" s="1096"/>
      <c r="B2139" s="1455">
        <v>1889</v>
      </c>
      <c r="C2139" s="1100">
        <v>1.0018530326482726</v>
      </c>
      <c r="D2139" s="1100">
        <v>1.0061858961308472</v>
      </c>
      <c r="E2139" s="1100">
        <v>1.026109054739585</v>
      </c>
      <c r="F2139" s="1100">
        <v>0.97508144304134448</v>
      </c>
      <c r="G2139" s="1100">
        <v>1.0045550324267849</v>
      </c>
      <c r="H2139" s="1100">
        <v>0.99016150714331597</v>
      </c>
      <c r="I2139" s="1100">
        <v>0.9753045845279773</v>
      </c>
      <c r="K2139">
        <v>1.2879243502411668</v>
      </c>
      <c r="L2139">
        <v>0</v>
      </c>
      <c r="M2139">
        <v>5.6124503003569782E-4</v>
      </c>
      <c r="N2139">
        <v>5.5838585830029187E-2</v>
      </c>
      <c r="O2139">
        <v>7.7348958483597716E-3</v>
      </c>
      <c r="P2139">
        <v>1.6162329545875393E-2</v>
      </c>
      <c r="Q2139">
        <v>4.5965384278382024E-4</v>
      </c>
      <c r="R2139">
        <v>5.5957243698665155E-4</v>
      </c>
      <c r="S2139">
        <v>5.8503593002514384E-2</v>
      </c>
      <c r="T2139">
        <v>1.0059055110944219</v>
      </c>
      <c r="U2139">
        <v>0</v>
      </c>
      <c r="V2139">
        <v>9.7923121416093453E-2</v>
      </c>
      <c r="W2139">
        <v>3.6123050067160656E-2</v>
      </c>
      <c r="X2139">
        <v>7.7523104765026022E-3</v>
      </c>
      <c r="Y2139">
        <v>1.5229717104733888E-3</v>
      </c>
    </row>
    <row r="2140" spans="1:25" x14ac:dyDescent="0.25">
      <c r="A2140" s="1096"/>
      <c r="B2140" s="1455">
        <v>1890</v>
      </c>
      <c r="C2140" s="1100">
        <v>0.96765052409354368</v>
      </c>
      <c r="D2140" s="1100">
        <v>0.97103291687760929</v>
      </c>
      <c r="E2140" s="1100">
        <v>1.0216058212101398</v>
      </c>
      <c r="F2140" s="1100">
        <v>1.0037637367804626</v>
      </c>
      <c r="G2140" s="1100">
        <v>0.95572942310214237</v>
      </c>
      <c r="H2140" s="1100">
        <v>0.97700726829580153</v>
      </c>
      <c r="I2140" s="1100">
        <v>0.98040306546532063</v>
      </c>
      <c r="K2140">
        <v>1.3233601136044437</v>
      </c>
      <c r="L2140">
        <v>0</v>
      </c>
      <c r="M2140">
        <v>5.8705532024480014E-4</v>
      </c>
      <c r="N2140">
        <v>5.7616265904410928E-2</v>
      </c>
      <c r="O2140">
        <v>8.1218624914449668E-3</v>
      </c>
      <c r="P2140">
        <v>1.654401608541629E-2</v>
      </c>
      <c r="Q2140">
        <v>4.804983509520787E-4</v>
      </c>
      <c r="R2140">
        <v>5.852822536321395E-4</v>
      </c>
      <c r="S2140">
        <v>6.1646386885995219E-2</v>
      </c>
      <c r="T2140">
        <v>1.0356258454661114</v>
      </c>
      <c r="U2140">
        <v>0</v>
      </c>
      <c r="V2140">
        <v>9.6430332718497963E-2</v>
      </c>
      <c r="W2140">
        <v>3.7371097574458813E-2</v>
      </c>
      <c r="X2140">
        <v>7.9326358376247946E-3</v>
      </c>
      <c r="Y2140">
        <v>1.5929453561436271E-3</v>
      </c>
    </row>
    <row r="2141" spans="1:25" x14ac:dyDescent="0.25">
      <c r="A2141" s="1096"/>
      <c r="B2141" s="1455">
        <v>1891</v>
      </c>
      <c r="C2141" s="1100">
        <v>0.98634253220461321</v>
      </c>
      <c r="D2141" s="1100">
        <v>1.0115828449999864</v>
      </c>
      <c r="E2141" s="1100">
        <v>1.0110504523704527</v>
      </c>
      <c r="F2141" s="1100">
        <v>0.96748872180918633</v>
      </c>
      <c r="G2141" s="1100">
        <v>1.022892548570226</v>
      </c>
      <c r="H2141" s="1100">
        <v>1.0196282273815491</v>
      </c>
      <c r="I2141" s="1100">
        <v>1.0228057225562972</v>
      </c>
      <c r="K2141">
        <v>1.2891656667947697</v>
      </c>
      <c r="L2141">
        <v>0</v>
      </c>
      <c r="M2141">
        <v>6.0442107962025619E-4</v>
      </c>
      <c r="N2141">
        <v>5.746819989476909E-2</v>
      </c>
      <c r="O2141">
        <v>7.83599486882809E-3</v>
      </c>
      <c r="P2141">
        <v>1.5962776909327341E-2</v>
      </c>
      <c r="Q2141">
        <v>4.5873712037271193E-4</v>
      </c>
      <c r="R2141">
        <v>6.0267187115415222E-4</v>
      </c>
      <c r="S2141">
        <v>6.3052842968943174E-2</v>
      </c>
      <c r="T2141">
        <v>0.99849837697355814</v>
      </c>
      <c r="U2141">
        <v>0</v>
      </c>
      <c r="V2141">
        <v>9.9182425129865678E-2</v>
      </c>
      <c r="W2141">
        <v>3.750663220435916E-2</v>
      </c>
      <c r="X2141">
        <v>7.5611557706584398E-3</v>
      </c>
      <c r="Y2141">
        <v>1.6402741625526707E-3</v>
      </c>
    </row>
    <row r="2142" spans="1:25" x14ac:dyDescent="0.25">
      <c r="A2142" s="1096"/>
      <c r="B2142" s="1455">
        <v>1892</v>
      </c>
      <c r="C2142" s="1100">
        <v>1.0315457300958999</v>
      </c>
      <c r="D2142" s="1100">
        <v>1.0231780646736239</v>
      </c>
      <c r="E2142" s="1100">
        <v>1.0427375442199085</v>
      </c>
      <c r="F2142" s="1100">
        <v>1.0003029813957065</v>
      </c>
      <c r="G2142" s="1100">
        <v>1.0264249726219601</v>
      </c>
      <c r="H2142" s="1100">
        <v>0.95927194205681043</v>
      </c>
      <c r="I2142" s="1100">
        <v>1.0110615222516501</v>
      </c>
      <c r="K2142">
        <v>1.3081770501098109</v>
      </c>
      <c r="L2142">
        <v>0</v>
      </c>
      <c r="M2142">
        <v>5.0668303199589092E-4</v>
      </c>
      <c r="N2142">
        <v>5.2995577842084904E-2</v>
      </c>
      <c r="O2142">
        <v>7.466036674463254E-3</v>
      </c>
      <c r="P2142">
        <v>1.6708057845154237E-2</v>
      </c>
      <c r="Q2142">
        <v>4.5101324365586388E-4</v>
      </c>
      <c r="R2142">
        <v>5.051244184829986E-4</v>
      </c>
      <c r="S2142">
        <v>5.7474823899307706E-2</v>
      </c>
      <c r="T2142">
        <v>1.0314462172088665</v>
      </c>
      <c r="U2142">
        <v>0</v>
      </c>
      <c r="V2142">
        <v>9.8287707005418987E-2</v>
      </c>
      <c r="W2142">
        <v>3.395565526567336E-2</v>
      </c>
      <c r="X2142">
        <v>8.018737585807895E-3</v>
      </c>
      <c r="Y2142">
        <v>1.3747821528909206E-3</v>
      </c>
    </row>
    <row r="2143" spans="1:25" x14ac:dyDescent="0.25">
      <c r="A2143" s="1096"/>
      <c r="B2143" s="1455">
        <v>1893</v>
      </c>
      <c r="C2143" s="1100">
        <v>0.98242586985000269</v>
      </c>
      <c r="D2143" s="1100">
        <v>1.0124673342523276</v>
      </c>
      <c r="E2143" s="1100">
        <v>0.95328338628223352</v>
      </c>
      <c r="F2143" s="1100">
        <v>1.0091883466048055</v>
      </c>
      <c r="G2143" s="1100">
        <v>0.95271597572691813</v>
      </c>
      <c r="H2143" s="1100">
        <v>1.0094829675495631</v>
      </c>
      <c r="I2143" s="1100">
        <v>0.9925433774089637</v>
      </c>
      <c r="K2143">
        <v>1.3235037683210058</v>
      </c>
      <c r="L2143">
        <v>0</v>
      </c>
      <c r="M2143">
        <v>6.7680849237420596E-4</v>
      </c>
      <c r="N2143">
        <v>5.4031321915305679E-2</v>
      </c>
      <c r="O2143">
        <v>7.850164168168217E-3</v>
      </c>
      <c r="P2143">
        <v>1.5797467170627539E-2</v>
      </c>
      <c r="Q2143">
        <v>4.3338939068208066E-4</v>
      </c>
      <c r="R2143">
        <v>6.748301082328777E-4</v>
      </c>
      <c r="S2143">
        <v>6.1034281336118809E-2</v>
      </c>
      <c r="T2143">
        <v>1.0433009102704676</v>
      </c>
      <c r="U2143">
        <v>0</v>
      </c>
      <c r="V2143">
        <v>9.5823900463699346E-2</v>
      </c>
      <c r="W2143">
        <v>3.6513242157718194E-2</v>
      </c>
      <c r="X2143">
        <v>6.8844047354337176E-3</v>
      </c>
      <c r="Y2143">
        <v>1.8366650969245009E-3</v>
      </c>
    </row>
    <row r="2144" spans="1:25" x14ac:dyDescent="0.25">
      <c r="A2144" s="1096"/>
      <c r="B2144" s="1455">
        <v>1894</v>
      </c>
      <c r="C2144" s="1100">
        <v>1.0285786373722541</v>
      </c>
      <c r="D2144" s="1100">
        <v>1.0160097766145642</v>
      </c>
      <c r="E2144" s="1100">
        <v>1.0118367710396827</v>
      </c>
      <c r="F2144" s="1100">
        <v>0.98020782612292812</v>
      </c>
      <c r="G2144" s="1100">
        <v>1.0103973278470761</v>
      </c>
      <c r="H2144" s="1100">
        <v>1.0071989130640076</v>
      </c>
      <c r="I2144" s="1100">
        <v>1.0107564722600464</v>
      </c>
      <c r="K2144">
        <v>1.2913276391029398</v>
      </c>
      <c r="L2144">
        <v>0</v>
      </c>
      <c r="M2144">
        <v>5.7060434851013194E-4</v>
      </c>
      <c r="N2144">
        <v>5.4379896042345721E-2</v>
      </c>
      <c r="O2144">
        <v>7.501301926416762E-3</v>
      </c>
      <c r="P2144">
        <v>1.607737327043253E-2</v>
      </c>
      <c r="Q2144">
        <v>4.3948847007416783E-4</v>
      </c>
      <c r="R2144">
        <v>5.6893262809171803E-4</v>
      </c>
      <c r="S2144">
        <v>5.9242199458265636E-2</v>
      </c>
      <c r="T2144">
        <v>1.0116024709201612</v>
      </c>
      <c r="U2144">
        <v>0</v>
      </c>
      <c r="V2144">
        <v>9.754685157050999E-2</v>
      </c>
      <c r="W2144">
        <v>3.5474616330812843E-2</v>
      </c>
      <c r="X2144">
        <v>7.5166657692627053E-3</v>
      </c>
      <c r="Y2144">
        <v>1.5484470650752114E-3</v>
      </c>
    </row>
    <row r="2145" spans="1:25" x14ac:dyDescent="0.25">
      <c r="A2145" s="1096"/>
      <c r="B2145" s="1455">
        <v>1895</v>
      </c>
      <c r="C2145" s="1100">
        <v>1.037897018807314</v>
      </c>
      <c r="D2145" s="1100">
        <v>1.0037909606941564</v>
      </c>
      <c r="E2145" s="1100">
        <v>0.98922499140744558</v>
      </c>
      <c r="F2145" s="1100">
        <v>1.0283916895814542</v>
      </c>
      <c r="G2145" s="1100">
        <v>1.0199719750458849</v>
      </c>
      <c r="H2145" s="1100">
        <v>0.97812336504311148</v>
      </c>
      <c r="I2145" s="1100">
        <v>0.97779089249672635</v>
      </c>
      <c r="K2145">
        <v>1.3349112828437979</v>
      </c>
      <c r="L2145">
        <v>0</v>
      </c>
      <c r="M2145">
        <v>5.7832261571821452E-4</v>
      </c>
      <c r="N2145">
        <v>5.147161970868757E-2</v>
      </c>
      <c r="O2145">
        <v>7.464679039277557E-3</v>
      </c>
      <c r="P2145">
        <v>1.6453963458042856E-2</v>
      </c>
      <c r="Q2145">
        <v>4.2751735621355624E-4</v>
      </c>
      <c r="R2145">
        <v>5.7657791732505499E-4</v>
      </c>
      <c r="S2145">
        <v>5.6308870262576347E-2</v>
      </c>
      <c r="T2145">
        <v>1.0620213811141936</v>
      </c>
      <c r="U2145">
        <v>0</v>
      </c>
      <c r="V2145">
        <v>9.7768664390462862E-2</v>
      </c>
      <c r="W2145">
        <v>3.4031523551594771E-2</v>
      </c>
      <c r="X2145">
        <v>7.395553639042254E-3</v>
      </c>
      <c r="Y2145">
        <v>1.5692550220994359E-3</v>
      </c>
    </row>
    <row r="2146" spans="1:25" x14ac:dyDescent="0.25">
      <c r="A2146" s="1096"/>
      <c r="B2146" s="1455">
        <v>1896</v>
      </c>
      <c r="C2146" s="1100">
        <v>1.0163844033064324</v>
      </c>
      <c r="D2146" s="1100">
        <v>1.045338028386632</v>
      </c>
      <c r="E2146" s="1100">
        <v>0.99425189683540083</v>
      </c>
      <c r="F2146" s="1100">
        <v>1.0091122579943685</v>
      </c>
      <c r="G2146" s="1100">
        <v>1.0288523876934421</v>
      </c>
      <c r="H2146" s="1100">
        <v>1.0091103826488146</v>
      </c>
      <c r="I2146" s="1100">
        <v>1.0286710181032241</v>
      </c>
      <c r="K2146">
        <v>1.3230225975276093</v>
      </c>
      <c r="L2146">
        <v>0</v>
      </c>
      <c r="M2146">
        <v>5.9325772604992041E-4</v>
      </c>
      <c r="N2146">
        <v>5.3614369997836003E-2</v>
      </c>
      <c r="O2146">
        <v>7.5012043138278856E-3</v>
      </c>
      <c r="P2146">
        <v>1.630856559947224E-2</v>
      </c>
      <c r="Q2146">
        <v>4.317955280901782E-4</v>
      </c>
      <c r="R2146">
        <v>5.9152292951299287E-4</v>
      </c>
      <c r="S2146">
        <v>6.0134690500604188E-2</v>
      </c>
      <c r="T2146">
        <v>1.0419592479930171</v>
      </c>
      <c r="U2146">
        <v>0</v>
      </c>
      <c r="V2146">
        <v>9.8709154409957839E-2</v>
      </c>
      <c r="W2146">
        <v>3.5341804210940235E-2</v>
      </c>
      <c r="X2146">
        <v>7.4135693517455815E-3</v>
      </c>
      <c r="Y2146">
        <v>1.6099304186530589E-3</v>
      </c>
    </row>
    <row r="2147" spans="1:25" x14ac:dyDescent="0.25">
      <c r="A2147" s="1096"/>
      <c r="B2147" s="1455">
        <v>1897</v>
      </c>
      <c r="C2147" s="1100">
        <v>0.9925807615183585</v>
      </c>
      <c r="D2147" s="1100">
        <v>0.99763530615773899</v>
      </c>
      <c r="E2147" s="1100">
        <v>1.0021564022432878</v>
      </c>
      <c r="F2147" s="1100">
        <v>1.0191792881590966</v>
      </c>
      <c r="G2147" s="1100">
        <v>1.0089003521288438</v>
      </c>
      <c r="H2147" s="1100">
        <v>1.0032883409282323</v>
      </c>
      <c r="I2147" s="1100">
        <v>0.99171320886067471</v>
      </c>
      <c r="K2147">
        <v>1.3380649183742981</v>
      </c>
      <c r="L2147">
        <v>0</v>
      </c>
      <c r="M2147">
        <v>6.0536561225410783E-4</v>
      </c>
      <c r="N2147">
        <v>5.603004975483649E-2</v>
      </c>
      <c r="O2147">
        <v>7.8279068897316225E-3</v>
      </c>
      <c r="P2147">
        <v>1.6546507242430727E-2</v>
      </c>
      <c r="Q2147">
        <v>4.5419975522629163E-4</v>
      </c>
      <c r="R2147">
        <v>6.0358513758138543E-4</v>
      </c>
      <c r="S2147">
        <v>6.0696897665362091E-2</v>
      </c>
      <c r="T2147">
        <v>1.0521137416586788</v>
      </c>
      <c r="U2147">
        <v>0</v>
      </c>
      <c r="V2147">
        <v>9.8337531641201695E-2</v>
      </c>
      <c r="W2147">
        <v>3.6760829318206636E-2</v>
      </c>
      <c r="X2147">
        <v>7.6562751505875291E-3</v>
      </c>
      <c r="Y2147">
        <v>1.6427597727094023E-3</v>
      </c>
    </row>
    <row r="2148" spans="1:25" x14ac:dyDescent="0.25">
      <c r="A2148" s="1096"/>
      <c r="B2148" s="1455">
        <v>1898</v>
      </c>
      <c r="C2148" s="1100">
        <v>0.98423267525108737</v>
      </c>
      <c r="D2148" s="1100">
        <v>0.99827589723543597</v>
      </c>
      <c r="E2148" s="1100">
        <v>1.0381238785932843</v>
      </c>
      <c r="F2148" s="1100">
        <v>1.011916362882012</v>
      </c>
      <c r="G2148" s="1100">
        <v>0.99549607421977815</v>
      </c>
      <c r="H2148" s="1100">
        <v>1.0300874883346203</v>
      </c>
      <c r="I2148" s="1100">
        <v>0.98223918984630776</v>
      </c>
      <c r="K2148">
        <v>1.3365219927440488</v>
      </c>
      <c r="L2148">
        <v>0</v>
      </c>
      <c r="M2148">
        <v>5.8146204021317658E-4</v>
      </c>
      <c r="N2148">
        <v>5.9990309175338562E-2</v>
      </c>
      <c r="O2148">
        <v>7.9012792839481781E-3</v>
      </c>
      <c r="P2148">
        <v>1.6873543495699139E-2</v>
      </c>
      <c r="Q2148">
        <v>4.7514574468279357E-4</v>
      </c>
      <c r="R2148">
        <v>5.7979636212001859E-4</v>
      </c>
      <c r="S2148">
        <v>6.1459073682411831E-2</v>
      </c>
      <c r="T2148">
        <v>1.0435545412327676</v>
      </c>
      <c r="U2148">
        <v>0</v>
      </c>
      <c r="V2148">
        <v>9.7941482811990901E-2</v>
      </c>
      <c r="W2148">
        <v>3.8539600422553846E-2</v>
      </c>
      <c r="X2148">
        <v>8.2106680048783832E-3</v>
      </c>
      <c r="Y2148">
        <v>1.5780145678712851E-3</v>
      </c>
    </row>
    <row r="2149" spans="1:25" x14ac:dyDescent="0.25">
      <c r="A2149" s="1096"/>
      <c r="B2149" s="1455">
        <v>1899</v>
      </c>
      <c r="C2149" s="1100">
        <v>0.98273895838409031</v>
      </c>
      <c r="D2149" s="1100">
        <v>0.99949096655546954</v>
      </c>
      <c r="E2149" s="1100">
        <v>0.99078231194298805</v>
      </c>
      <c r="F2149" s="1100">
        <v>1.0238594207410017</v>
      </c>
      <c r="G2149" s="1100">
        <v>1.0167472036963319</v>
      </c>
      <c r="H2149" s="1100">
        <v>0.96988269274247141</v>
      </c>
      <c r="I2149" s="1100">
        <v>0.96722439633637336</v>
      </c>
      <c r="K2149">
        <v>1.3387131576043521</v>
      </c>
      <c r="L2149">
        <v>0</v>
      </c>
      <c r="M2149">
        <v>6.0472353296513496E-4</v>
      </c>
      <c r="N2149">
        <v>5.4073965515965626E-2</v>
      </c>
      <c r="O2149">
        <v>7.8975858514678966E-3</v>
      </c>
      <c r="P2149">
        <v>1.6457918774617931E-2</v>
      </c>
      <c r="Q2149">
        <v>4.5302334543139431E-4</v>
      </c>
      <c r="R2149">
        <v>6.0288368694189239E-4</v>
      </c>
      <c r="S2149">
        <v>5.8716439290271899E-2</v>
      </c>
      <c r="T2149">
        <v>1.0572929660259911</v>
      </c>
      <c r="U2149">
        <v>0</v>
      </c>
      <c r="V2149">
        <v>9.8954384969275513E-2</v>
      </c>
      <c r="W2149">
        <v>3.5718779617937152E-2</v>
      </c>
      <c r="X2149">
        <v>7.5090834041144795E-3</v>
      </c>
      <c r="Y2149">
        <v>1.6408506553018433E-3</v>
      </c>
    </row>
    <row r="2150" spans="1:25" x14ac:dyDescent="0.25">
      <c r="A2150" s="1096"/>
      <c r="B2150" s="1455">
        <v>1900</v>
      </c>
      <c r="C2150" s="1100">
        <v>1.0032179675964541</v>
      </c>
      <c r="D2150" s="1100">
        <v>1.0060688315883797</v>
      </c>
      <c r="E2150" s="1100">
        <v>0.99211838925932605</v>
      </c>
      <c r="F2150" s="1100">
        <v>1.0050277230597795</v>
      </c>
      <c r="G2150" s="1100">
        <v>0.98469621305141208</v>
      </c>
      <c r="H2150" s="1100">
        <v>1.0419533627991839</v>
      </c>
      <c r="I2150" s="1100">
        <v>0.97856664418326111</v>
      </c>
      <c r="K2150">
        <v>1.3226756865813338</v>
      </c>
      <c r="L2150">
        <v>0</v>
      </c>
      <c r="M2150">
        <v>6.3297603972710772E-4</v>
      </c>
      <c r="N2150">
        <v>5.6841358551131496E-2</v>
      </c>
      <c r="O2150">
        <v>7.7164230412462816E-3</v>
      </c>
      <c r="P2150">
        <v>1.6201419251477337E-2</v>
      </c>
      <c r="Q2150">
        <v>4.4322911661026811E-4</v>
      </c>
      <c r="R2150">
        <v>6.3118344213579239E-4</v>
      </c>
      <c r="S2150">
        <v>6.0129590609321444E-2</v>
      </c>
      <c r="T2150">
        <v>1.0378060190734084</v>
      </c>
      <c r="U2150">
        <v>0</v>
      </c>
      <c r="V2150">
        <v>9.6890719521183777E-2</v>
      </c>
      <c r="W2150">
        <v>3.7516786745649726E-2</v>
      </c>
      <c r="X2150">
        <v>7.4140600089671145E-3</v>
      </c>
      <c r="Y2150">
        <v>1.7178732599278466E-3</v>
      </c>
    </row>
    <row r="2151" spans="1:25" x14ac:dyDescent="0.25">
      <c r="A2151" s="1096"/>
      <c r="B2151" s="1455">
        <v>1901</v>
      </c>
      <c r="C2151" s="1100">
        <v>1.0177218054211705</v>
      </c>
      <c r="D2151" s="1100">
        <v>0.97956741648185042</v>
      </c>
      <c r="E2151" s="1100">
        <v>1.0301051493306759</v>
      </c>
      <c r="F2151" s="1100">
        <v>0.98988335121458171</v>
      </c>
      <c r="G2151" s="1100">
        <v>1.0365624279693197</v>
      </c>
      <c r="H2151" s="1100">
        <v>0.95987377063363744</v>
      </c>
      <c r="I2151" s="1100">
        <v>0.99214597042798469</v>
      </c>
      <c r="K2151">
        <v>1.3015368069081836</v>
      </c>
      <c r="L2151">
        <v>0</v>
      </c>
      <c r="M2151">
        <v>5.3688064268983212E-4</v>
      </c>
      <c r="N2151">
        <v>5.4056901373381157E-2</v>
      </c>
      <c r="O2151">
        <v>7.6973641900305268E-3</v>
      </c>
      <c r="P2151">
        <v>1.6437386430326457E-2</v>
      </c>
      <c r="Q2151">
        <v>4.5923619101199948E-4</v>
      </c>
      <c r="R2151">
        <v>5.3523017343107997E-4</v>
      </c>
      <c r="S2151">
        <v>5.8530146054017032E-2</v>
      </c>
      <c r="T2151">
        <v>1.0210608918509116</v>
      </c>
      <c r="U2151">
        <v>0</v>
      </c>
      <c r="V2151">
        <v>9.9090465480017098E-2</v>
      </c>
      <c r="W2151">
        <v>3.4889299249323255E-2</v>
      </c>
      <c r="X2151">
        <v>7.8600464649233644E-3</v>
      </c>
      <c r="Y2151">
        <v>1.4567200935001468E-3</v>
      </c>
    </row>
    <row r="2152" spans="1:25" x14ac:dyDescent="0.25">
      <c r="A2152" s="1096"/>
      <c r="B2152" s="1455">
        <v>1902</v>
      </c>
      <c r="C2152" s="1100">
        <v>1.0150842915128455</v>
      </c>
      <c r="D2152" s="1100">
        <v>0.98739945505752291</v>
      </c>
      <c r="E2152" s="1100">
        <v>0.99150645211008859</v>
      </c>
      <c r="F2152" s="1100">
        <v>1.0394642463074124</v>
      </c>
      <c r="G2152" s="1100">
        <v>0.96822843237880141</v>
      </c>
      <c r="H2152" s="1100">
        <v>0.9807911488792157</v>
      </c>
      <c r="I2152" s="1100">
        <v>1.0031486437144266</v>
      </c>
      <c r="K2152">
        <v>1.3511814872092893</v>
      </c>
      <c r="L2152">
        <v>0</v>
      </c>
      <c r="M2152">
        <v>5.9403661236154964E-4</v>
      </c>
      <c r="N2152">
        <v>5.3236569714941805E-2</v>
      </c>
      <c r="O2152">
        <v>7.6834231587561514E-3</v>
      </c>
      <c r="P2152">
        <v>1.6655270966276701E-2</v>
      </c>
      <c r="Q2152">
        <v>4.4106099560319235E-4</v>
      </c>
      <c r="R2152">
        <v>5.9224938216648985E-4</v>
      </c>
      <c r="S2152">
        <v>5.9676074478006109E-2</v>
      </c>
      <c r="T2152">
        <v>1.0733847546722799</v>
      </c>
      <c r="U2152">
        <v>0</v>
      </c>
      <c r="V2152">
        <v>9.5804684635771603E-2</v>
      </c>
      <c r="W2152">
        <v>3.5150396499561823E-2</v>
      </c>
      <c r="X2152">
        <v>7.5391317349857798E-3</v>
      </c>
      <c r="Y2152">
        <v>1.6119075833008248E-3</v>
      </c>
    </row>
    <row r="2153" spans="1:25" x14ac:dyDescent="0.25">
      <c r="A2153" s="1096"/>
      <c r="B2153" s="1455">
        <v>1903</v>
      </c>
      <c r="C2153" s="1100">
        <v>0.97985958554951158</v>
      </c>
      <c r="D2153" s="1100">
        <v>1.0013692952815376</v>
      </c>
      <c r="E2153" s="1100">
        <v>1.0115089575432856</v>
      </c>
      <c r="F2153" s="1100">
        <v>1.0007296748803998</v>
      </c>
      <c r="G2153" s="1100">
        <v>1.0072011568348791</v>
      </c>
      <c r="H2153" s="1100">
        <v>1.0242977292698348</v>
      </c>
      <c r="I2153" s="1100">
        <v>0.97810728589923102</v>
      </c>
      <c r="K2153">
        <v>1.3232107262079413</v>
      </c>
      <c r="L2153">
        <v>0</v>
      </c>
      <c r="M2153">
        <v>6.1310800262791287E-4</v>
      </c>
      <c r="N2153">
        <v>5.8375663241356776E-2</v>
      </c>
      <c r="O2153">
        <v>7.9200375101422318E-3</v>
      </c>
      <c r="P2153">
        <v>1.6405836774449192E-2</v>
      </c>
      <c r="Q2153">
        <v>4.6386958047516381E-4</v>
      </c>
      <c r="R2153">
        <v>6.113417427925234E-4</v>
      </c>
      <c r="S2153">
        <v>6.1169301631333349E-2</v>
      </c>
      <c r="T2153">
        <v>1.0327912555471812</v>
      </c>
      <c r="U2153">
        <v>0</v>
      </c>
      <c r="V2153">
        <v>9.8590056218982744E-2</v>
      </c>
      <c r="W2153">
        <v>3.8088599329414392E-2</v>
      </c>
      <c r="X2153">
        <v>7.7440019393097718E-3</v>
      </c>
      <c r="Y2153">
        <v>1.6638706951298994E-3</v>
      </c>
    </row>
    <row r="2154" spans="1:25" x14ac:dyDescent="0.25">
      <c r="A2154" s="1096"/>
      <c r="B2154" s="1455">
        <v>1904</v>
      </c>
      <c r="C2154" s="1100">
        <v>1.0010904619613581</v>
      </c>
      <c r="D2154" s="1100">
        <v>1.0306401185078706</v>
      </c>
      <c r="E2154" s="1100">
        <v>1.0015837996279591</v>
      </c>
      <c r="F2154" s="1100">
        <v>0.98224823738878253</v>
      </c>
      <c r="G2154" s="1100">
        <v>1.034598722938135</v>
      </c>
      <c r="H2154" s="1100">
        <v>0.98221702419203827</v>
      </c>
      <c r="I2154" s="1100">
        <v>1.0093295184382489</v>
      </c>
      <c r="K2154">
        <v>1.2949008457180233</v>
      </c>
      <c r="L2154">
        <v>0</v>
      </c>
      <c r="M2154">
        <v>5.8070271925827793E-4</v>
      </c>
      <c r="N2154">
        <v>5.3651075150491355E-2</v>
      </c>
      <c r="O2154">
        <v>7.6608369875067334E-3</v>
      </c>
      <c r="P2154">
        <v>1.6017492616428795E-2</v>
      </c>
      <c r="Q2154">
        <v>4.4425032914024244E-4</v>
      </c>
      <c r="R2154">
        <v>5.7895814194388131E-4</v>
      </c>
      <c r="S2154">
        <v>5.9549769532699429E-2</v>
      </c>
      <c r="T2154">
        <v>1.0140059854481251</v>
      </c>
      <c r="U2154">
        <v>0</v>
      </c>
      <c r="V2154">
        <v>9.9367863409823315E-2</v>
      </c>
      <c r="W2154">
        <v>3.521196848508848E-2</v>
      </c>
      <c r="X2154">
        <v>7.4176151271632086E-3</v>
      </c>
      <c r="Y2154">
        <v>1.5757332088710456E-3</v>
      </c>
    </row>
    <row r="2155" spans="1:25" x14ac:dyDescent="0.25">
      <c r="A2155" s="1096"/>
      <c r="B2155" s="1455">
        <v>1905</v>
      </c>
      <c r="C2155" s="1100">
        <v>1.0197539949851744</v>
      </c>
      <c r="D2155" s="1100">
        <v>0.98639943391859874</v>
      </c>
      <c r="E2155" s="1100">
        <v>1.0458920598578503</v>
      </c>
      <c r="F2155" s="1100">
        <v>0.99682465413547028</v>
      </c>
      <c r="G2155" s="1100">
        <v>0.96624356495063601</v>
      </c>
      <c r="H2155" s="1100">
        <v>1.014002580027993</v>
      </c>
      <c r="I2155" s="1100">
        <v>1.0151174387720936</v>
      </c>
      <c r="K2155">
        <v>1.3136879498913421</v>
      </c>
      <c r="L2155">
        <v>0</v>
      </c>
      <c r="M2155">
        <v>5.4616685439942767E-4</v>
      </c>
      <c r="N2155">
        <v>5.76801708101186E-2</v>
      </c>
      <c r="O2155">
        <v>7.6645401098790573E-3</v>
      </c>
      <c r="P2155">
        <v>1.670969719682799E-2</v>
      </c>
      <c r="Q2155">
        <v>4.6443955282345973E-4</v>
      </c>
      <c r="R2155">
        <v>5.4457746578139184E-4</v>
      </c>
      <c r="S2155">
        <v>6.1213041682057885E-2</v>
      </c>
      <c r="T2155">
        <v>1.0277701233090435</v>
      </c>
      <c r="U2155">
        <v>0</v>
      </c>
      <c r="V2155">
        <v>9.5656999254767283E-2</v>
      </c>
      <c r="W2155">
        <v>3.6890338946053126E-2</v>
      </c>
      <c r="X2155">
        <v>8.1580280764446799E-3</v>
      </c>
      <c r="Y2155">
        <v>1.4821603419436005E-3</v>
      </c>
    </row>
    <row r="2156" spans="1:25" x14ac:dyDescent="0.25">
      <c r="A2156" s="1096"/>
      <c r="B2156" s="1455">
        <v>1906</v>
      </c>
      <c r="C2156" s="1100">
        <v>1.0333011614168766</v>
      </c>
      <c r="D2156" s="1100">
        <v>1.0238568324314119</v>
      </c>
      <c r="E2156" s="1100">
        <v>0.9976931287619889</v>
      </c>
      <c r="F2156" s="1100">
        <v>0.99173250693141013</v>
      </c>
      <c r="G2156" s="1100">
        <v>0.99522062932274435</v>
      </c>
      <c r="H2156" s="1100">
        <v>1.0065995640598964</v>
      </c>
      <c r="I2156" s="1100">
        <v>0.98711848762775589</v>
      </c>
      <c r="K2156">
        <v>1.2989792354386369</v>
      </c>
      <c r="L2156">
        <v>0</v>
      </c>
      <c r="M2156">
        <v>5.8277568413756138E-4</v>
      </c>
      <c r="N2156">
        <v>5.3217273077951772E-2</v>
      </c>
      <c r="O2156">
        <v>7.4407432086133953E-3</v>
      </c>
      <c r="P2156">
        <v>1.603909476514984E-2</v>
      </c>
      <c r="Q2156">
        <v>4.2980262646842641E-4</v>
      </c>
      <c r="R2156">
        <v>5.8106728830535745E-4</v>
      </c>
      <c r="S2156">
        <v>5.7325212264073409E-2</v>
      </c>
      <c r="T2156">
        <v>1.0239117878088244</v>
      </c>
      <c r="U2156">
        <v>0</v>
      </c>
      <c r="V2156">
        <v>9.6686843785368043E-2</v>
      </c>
      <c r="W2156">
        <v>3.5008140429298659E-2</v>
      </c>
      <c r="X2156">
        <v>7.3405722587324765E-3</v>
      </c>
      <c r="Y2156">
        <v>1.5814736099870733E-3</v>
      </c>
    </row>
    <row r="2157" spans="1:25" x14ac:dyDescent="0.25">
      <c r="A2157" s="1096"/>
      <c r="B2157" s="1455">
        <v>1907</v>
      </c>
      <c r="C2157" s="1100">
        <v>0.98449427917121513</v>
      </c>
      <c r="D2157" s="1100">
        <v>0.98548870440222336</v>
      </c>
      <c r="E2157" s="1100">
        <v>0.98474288244888286</v>
      </c>
      <c r="F2157" s="1100">
        <v>0.9909726942668291</v>
      </c>
      <c r="G2157" s="1100">
        <v>1.0011326142425285</v>
      </c>
      <c r="H2157" s="1100">
        <v>0.99186663529158481</v>
      </c>
      <c r="I2157" s="1100">
        <v>0.99532707088768479</v>
      </c>
      <c r="K2157">
        <v>1.3082226243613821</v>
      </c>
      <c r="L2157">
        <v>0</v>
      </c>
      <c r="M2157">
        <v>6.2863284831088449E-4</v>
      </c>
      <c r="N2157">
        <v>5.5198382006764357E-2</v>
      </c>
      <c r="O2157">
        <v>7.9266083459352057E-3</v>
      </c>
      <c r="P2157">
        <v>1.5953647198854469E-2</v>
      </c>
      <c r="Q2157">
        <v>4.5191754569813336E-4</v>
      </c>
      <c r="R2157">
        <v>6.2676265022793779E-4</v>
      </c>
      <c r="S2157">
        <v>6.1451407643467709E-2</v>
      </c>
      <c r="T2157">
        <v>1.0235126699844077</v>
      </c>
      <c r="U2157">
        <v>0</v>
      </c>
      <c r="V2157">
        <v>9.8147343497328107E-2</v>
      </c>
      <c r="W2157">
        <v>3.6593908464644644E-2</v>
      </c>
      <c r="X2157">
        <v>7.2827685506961825E-3</v>
      </c>
      <c r="Y2157">
        <v>1.7058413216683274E-3</v>
      </c>
    </row>
    <row r="2158" spans="1:25" x14ac:dyDescent="0.25">
      <c r="A2158" s="1096"/>
      <c r="B2158" s="1455">
        <v>1908</v>
      </c>
      <c r="C2158" s="1100">
        <v>1.0130073845379735</v>
      </c>
      <c r="D2158" s="1100">
        <v>0.96033506017682269</v>
      </c>
      <c r="E2158" s="1100">
        <v>1.0008836313553875</v>
      </c>
      <c r="F2158" s="1100">
        <v>0.9816986452077503</v>
      </c>
      <c r="G2158" s="1100">
        <v>1.0060631615107327</v>
      </c>
      <c r="H2158" s="1100">
        <v>1.002617335432296</v>
      </c>
      <c r="I2158" s="1100">
        <v>1.0214339264858618</v>
      </c>
      <c r="K2158">
        <v>1.2991674304678562</v>
      </c>
      <c r="L2158">
        <v>0</v>
      </c>
      <c r="M2158">
        <v>6.0345779566354152E-4</v>
      </c>
      <c r="N2158">
        <v>5.5639022680424595E-2</v>
      </c>
      <c r="O2158">
        <v>7.7875530672406401E-3</v>
      </c>
      <c r="P2158">
        <v>1.6019106506234091E-2</v>
      </c>
      <c r="Q2158">
        <v>4.5128106395725441E-4</v>
      </c>
      <c r="R2158">
        <v>6.0168174434274354E-4</v>
      </c>
      <c r="S2158">
        <v>6.249879395300597E-2</v>
      </c>
      <c r="T2158">
        <v>1.0134590579183163</v>
      </c>
      <c r="U2158">
        <v>0</v>
      </c>
      <c r="V2158">
        <v>9.7695374755945294E-2</v>
      </c>
      <c r="W2158">
        <v>3.6531871380286678E-2</v>
      </c>
      <c r="X2158">
        <v>7.4495658299977173E-3</v>
      </c>
      <c r="Y2158">
        <v>1.6375793637672313E-3</v>
      </c>
    </row>
    <row r="2159" spans="1:25" x14ac:dyDescent="0.25">
      <c r="A2159" s="1096"/>
      <c r="B2159" s="1455">
        <v>1909</v>
      </c>
      <c r="C2159" s="1100">
        <v>0.99053456870906476</v>
      </c>
      <c r="D2159" s="1100">
        <v>1.0169890949858684</v>
      </c>
      <c r="E2159" s="1100">
        <v>0.96853452357760139</v>
      </c>
      <c r="F2159" s="1100">
        <v>0.99021238832722891</v>
      </c>
      <c r="G2159" s="1100">
        <v>1.044209864987885</v>
      </c>
      <c r="H2159" s="1100">
        <v>0.99131029077149091</v>
      </c>
      <c r="I2159" s="1100">
        <v>0.99426010140991739</v>
      </c>
      <c r="K2159">
        <v>1.3049457458142795</v>
      </c>
      <c r="L2159">
        <v>0</v>
      </c>
      <c r="M2159">
        <v>6.3764476827663755E-4</v>
      </c>
      <c r="N2159">
        <v>5.3309407003747034E-2</v>
      </c>
      <c r="O2159">
        <v>7.7757656122539268E-3</v>
      </c>
      <c r="P2159">
        <v>1.5759427269939636E-2</v>
      </c>
      <c r="Q2159">
        <v>4.3606065136973663E-4</v>
      </c>
      <c r="R2159">
        <v>6.3574669486974786E-4</v>
      </c>
      <c r="S2159">
        <v>5.9956700095487314E-2</v>
      </c>
      <c r="T2159">
        <v>1.0232163307874318</v>
      </c>
      <c r="U2159">
        <v>0</v>
      </c>
      <c r="V2159">
        <v>0.10005940971245302</v>
      </c>
      <c r="W2159">
        <v>3.5690128781208558E-2</v>
      </c>
      <c r="X2159">
        <v>7.0141210442015581E-3</v>
      </c>
      <c r="Y2159">
        <v>1.7302929295938136E-3</v>
      </c>
    </row>
    <row r="2160" spans="1:25" x14ac:dyDescent="0.25">
      <c r="A2160" s="1096"/>
      <c r="B2160" s="1455">
        <v>1910</v>
      </c>
      <c r="C2160" s="1100">
        <v>1.0118695578775445</v>
      </c>
      <c r="D2160" s="1100">
        <v>0.96642258222681654</v>
      </c>
      <c r="E2160" s="1100">
        <v>1.0226363829755478</v>
      </c>
      <c r="F2160" s="1100">
        <v>0.97056905741933264</v>
      </c>
      <c r="G2160" s="1100">
        <v>1.0055361191427494</v>
      </c>
      <c r="H2160" s="1100">
        <v>1.0296619872244079</v>
      </c>
      <c r="I2160" s="1100">
        <v>1.0293626742767259</v>
      </c>
      <c r="K2160">
        <v>1.2924977849252601</v>
      </c>
      <c r="L2160">
        <v>0</v>
      </c>
      <c r="M2160">
        <v>5.9151415029972917E-4</v>
      </c>
      <c r="N2160">
        <v>5.8243638418295149E-2</v>
      </c>
      <c r="O2160">
        <v>7.7819884790713703E-3</v>
      </c>
      <c r="P2160">
        <v>1.6127726492370535E-2</v>
      </c>
      <c r="Q2160">
        <v>4.6086240305292424E-4</v>
      </c>
      <c r="R2160">
        <v>5.8981897632261128E-4</v>
      </c>
      <c r="S2160">
        <v>6.3715098390454014E-2</v>
      </c>
      <c r="T2160">
        <v>1.0013483645278756</v>
      </c>
      <c r="U2160">
        <v>0</v>
      </c>
      <c r="V2160">
        <v>9.7721712915068107E-2</v>
      </c>
      <c r="W2160">
        <v>3.7755291477747407E-2</v>
      </c>
      <c r="X2160">
        <v>7.7395041755238987E-3</v>
      </c>
      <c r="Y2160">
        <v>1.6052928197768585E-3</v>
      </c>
    </row>
    <row r="2161" spans="1:25" x14ac:dyDescent="0.25">
      <c r="A2161" s="1096"/>
      <c r="B2161" s="1455">
        <v>1911</v>
      </c>
      <c r="C2161" s="1100">
        <v>0.95370034107700941</v>
      </c>
      <c r="D2161" s="1100">
        <v>1.000003059573163</v>
      </c>
      <c r="E2161" s="1100">
        <v>0.99125897090175619</v>
      </c>
      <c r="F2161" s="1100">
        <v>0.99949896436762597</v>
      </c>
      <c r="G2161" s="1100">
        <v>0.98211656076226406</v>
      </c>
      <c r="H2161" s="1100">
        <v>1.0049699132129797</v>
      </c>
      <c r="I2161" s="1100">
        <v>0.98406743524366835</v>
      </c>
      <c r="K2161">
        <v>1.3227072140468012</v>
      </c>
      <c r="L2161">
        <v>0</v>
      </c>
      <c r="M2161">
        <v>6.4491009013884978E-4</v>
      </c>
      <c r="N2161">
        <v>5.775673416615338E-2</v>
      </c>
      <c r="O2161">
        <v>8.1365097244344622E-3</v>
      </c>
      <c r="P2161">
        <v>1.6163758454601895E-2</v>
      </c>
      <c r="Q2161">
        <v>4.6695335007614362E-4</v>
      </c>
      <c r="R2161">
        <v>6.4301648279078126E-4</v>
      </c>
      <c r="S2161">
        <v>6.2646716243185796E-2</v>
      </c>
      <c r="T2161">
        <v>1.0321227245179303</v>
      </c>
      <c r="U2161">
        <v>0</v>
      </c>
      <c r="V2161">
        <v>9.804743936933287E-2</v>
      </c>
      <c r="W2161">
        <v>3.8140563834198643E-2</v>
      </c>
      <c r="X2161">
        <v>7.4776290984056555E-3</v>
      </c>
      <c r="Y2161">
        <v>1.750078895829923E-3</v>
      </c>
    </row>
    <row r="2162" spans="1:25" x14ac:dyDescent="0.25">
      <c r="A2162" s="1096"/>
      <c r="B2162" s="1455">
        <v>1912</v>
      </c>
      <c r="C2162" s="1100">
        <v>1.0221913536818286</v>
      </c>
      <c r="D2162" s="1100">
        <v>1.0284290600535955</v>
      </c>
      <c r="E2162" s="1100">
        <v>0.99818857129364047</v>
      </c>
      <c r="F2162" s="1100">
        <v>1.0166729907666665</v>
      </c>
      <c r="G2162" s="1100">
        <v>1.0009521052893799</v>
      </c>
      <c r="H2162" s="1100">
        <v>0.98307768252401351</v>
      </c>
      <c r="I2162" s="1100">
        <v>0.99802175483964306</v>
      </c>
      <c r="K2162">
        <v>1.3249853239543443</v>
      </c>
      <c r="L2162">
        <v>0</v>
      </c>
      <c r="M2162">
        <v>5.7372927680159037E-4</v>
      </c>
      <c r="N2162">
        <v>5.24659837950767E-2</v>
      </c>
      <c r="O2162">
        <v>7.508337591675864E-3</v>
      </c>
      <c r="P2162">
        <v>1.6408761195775893E-2</v>
      </c>
      <c r="Q2162">
        <v>4.339233979768268E-4</v>
      </c>
      <c r="R2162">
        <v>5.720071584555779E-4</v>
      </c>
      <c r="S2162">
        <v>5.7755838576015815E-2</v>
      </c>
      <c r="T2162">
        <v>1.0496465053264317</v>
      </c>
      <c r="U2162">
        <v>0</v>
      </c>
      <c r="V2162">
        <v>9.7225324009824948E-2</v>
      </c>
      <c r="W2162">
        <v>3.4503738530375201E-2</v>
      </c>
      <c r="X2162">
        <v>7.4818187263303183E-3</v>
      </c>
      <c r="Y2162">
        <v>1.5568149232069758E-3</v>
      </c>
    </row>
    <row r="2163" spans="1:25" x14ac:dyDescent="0.25">
      <c r="A2163" s="1096"/>
      <c r="B2163" s="1455">
        <v>1913</v>
      </c>
      <c r="C2163" s="1100">
        <v>0.99346242504007332</v>
      </c>
      <c r="D2163" s="1100">
        <v>1.0346464351828981</v>
      </c>
      <c r="E2163" s="1100">
        <v>0.99324108909707864</v>
      </c>
      <c r="F2163" s="1100">
        <v>1.0053631830116039</v>
      </c>
      <c r="G2163" s="1100">
        <v>1.0392865190575227</v>
      </c>
      <c r="H2163" s="1100">
        <v>1.0257776372865615</v>
      </c>
      <c r="I2163" s="1100">
        <v>0.99066262620324574</v>
      </c>
      <c r="K2163">
        <v>1.3243273929444073</v>
      </c>
      <c r="L2163">
        <v>0</v>
      </c>
      <c r="M2163">
        <v>6.2081202969375699E-4</v>
      </c>
      <c r="N2163">
        <v>5.5936042363691943E-2</v>
      </c>
      <c r="O2163">
        <v>7.7056553845243209E-3</v>
      </c>
      <c r="P2163">
        <v>1.6257750693030332E-2</v>
      </c>
      <c r="Q2163">
        <v>4.4311243210298567E-4</v>
      </c>
      <c r="R2163">
        <v>6.1902615610202806E-4</v>
      </c>
      <c r="S2163">
        <v>6.0075109591569316E-2</v>
      </c>
      <c r="T2163">
        <v>1.0381185768688115</v>
      </c>
      <c r="U2163">
        <v>0</v>
      </c>
      <c r="V2163">
        <v>9.9775306830211727E-2</v>
      </c>
      <c r="W2163">
        <v>3.6894484591947739E-2</v>
      </c>
      <c r="X2163">
        <v>7.4383549271169903E-3</v>
      </c>
      <c r="Y2163">
        <v>1.6847851349922037E-3</v>
      </c>
    </row>
    <row r="2164" spans="1:25" x14ac:dyDescent="0.25">
      <c r="A2164" s="1096"/>
      <c r="B2164" s="1455">
        <v>1914</v>
      </c>
      <c r="C2164" s="1100">
        <v>1.0022583717957374</v>
      </c>
      <c r="D2164" s="1100">
        <v>1.0066888073948832</v>
      </c>
      <c r="E2164" s="1100">
        <v>1.0099571119014139</v>
      </c>
      <c r="F2164" s="1100">
        <v>1.0005283275761616</v>
      </c>
      <c r="G2164" s="1100">
        <v>0.97177674138031767</v>
      </c>
      <c r="H2164" s="1100">
        <v>0.97766415839219833</v>
      </c>
      <c r="I2164" s="1100">
        <v>0.984348494623</v>
      </c>
      <c r="K2164">
        <v>1.310941517204647</v>
      </c>
      <c r="L2164">
        <v>0</v>
      </c>
      <c r="M2164">
        <v>5.7274926718247775E-4</v>
      </c>
      <c r="N2164">
        <v>5.4270642460014312E-2</v>
      </c>
      <c r="O2164">
        <v>7.7262660944430496E-3</v>
      </c>
      <c r="P2164">
        <v>1.6318364155792166E-2</v>
      </c>
      <c r="Q2164">
        <v>4.5181939960809559E-4</v>
      </c>
      <c r="R2164">
        <v>5.7102057102560873E-4</v>
      </c>
      <c r="S2164">
        <v>5.8617124467527891E-2</v>
      </c>
      <c r="T2164">
        <v>1.0326291768930793</v>
      </c>
      <c r="U2164">
        <v>0</v>
      </c>
      <c r="V2164">
        <v>9.6309133827461521E-2</v>
      </c>
      <c r="W2164">
        <v>3.544257970206266E-2</v>
      </c>
      <c r="X2164">
        <v>7.6240091433625546E-3</v>
      </c>
      <c r="Y2164">
        <v>1.5541297574510585E-3</v>
      </c>
    </row>
    <row r="2165" spans="1:25" x14ac:dyDescent="0.25">
      <c r="A2165" s="1096"/>
      <c r="B2165" s="1455">
        <v>1915</v>
      </c>
      <c r="C2165" s="1100">
        <v>1.0280136607735335</v>
      </c>
      <c r="D2165" s="1100">
        <v>0.97542234812636197</v>
      </c>
      <c r="E2165" s="1100">
        <v>1.0025537339279158</v>
      </c>
      <c r="F2165" s="1100">
        <v>0.97814133172325801</v>
      </c>
      <c r="G2165" s="1100">
        <v>0.99971732688865211</v>
      </c>
      <c r="H2165" s="1100">
        <v>0.99130532746949473</v>
      </c>
      <c r="I2165" s="1100">
        <v>0.99258447233808378</v>
      </c>
      <c r="K2165">
        <v>1.288101666152603</v>
      </c>
      <c r="L2165">
        <v>0</v>
      </c>
      <c r="M2165">
        <v>5.8226403043569919E-4</v>
      </c>
      <c r="N2165">
        <v>5.3954663015922062E-2</v>
      </c>
      <c r="O2165">
        <v>7.6265780838995186E-3</v>
      </c>
      <c r="P2165">
        <v>1.5931483146163529E-2</v>
      </c>
      <c r="Q2165">
        <v>4.4269456741628495E-4</v>
      </c>
      <c r="R2165">
        <v>5.805307998653325E-4</v>
      </c>
      <c r="S2165">
        <v>5.9012773445000194E-2</v>
      </c>
      <c r="T2165">
        <v>1.0097381159199303</v>
      </c>
      <c r="U2165">
        <v>0</v>
      </c>
      <c r="V2165">
        <v>9.7033103432193388E-2</v>
      </c>
      <c r="W2165">
        <v>3.5390843005443179E-2</v>
      </c>
      <c r="X2165">
        <v>7.3931313018986353E-3</v>
      </c>
      <c r="Y2165">
        <v>1.5800134653066915E-3</v>
      </c>
    </row>
    <row r="2166" spans="1:25" x14ac:dyDescent="0.25">
      <c r="A2166" s="1096"/>
      <c r="B2166" s="1455">
        <v>1916</v>
      </c>
      <c r="C2166" s="1100">
        <v>1.0138432971554703</v>
      </c>
      <c r="D2166" s="1100">
        <v>1.0132878815262485</v>
      </c>
      <c r="E2166" s="1100">
        <v>1.0161579721018972</v>
      </c>
      <c r="F2166" s="1100">
        <v>0.99650591321350424</v>
      </c>
      <c r="G2166" s="1100">
        <v>0.99128549096219398</v>
      </c>
      <c r="H2166" s="1100">
        <v>0.99353362939807099</v>
      </c>
      <c r="I2166" s="1100">
        <v>1.0119095402900635</v>
      </c>
      <c r="K2166">
        <v>1.3090611605248803</v>
      </c>
      <c r="L2166">
        <v>0</v>
      </c>
      <c r="M2166">
        <v>5.6654433952458606E-4</v>
      </c>
      <c r="N2166">
        <v>5.4699538362002427E-2</v>
      </c>
      <c r="O2166">
        <v>7.619540460298448E-3</v>
      </c>
      <c r="P2166">
        <v>1.6359571277004176E-2</v>
      </c>
      <c r="Q2166">
        <v>4.4834412532032561E-4</v>
      </c>
      <c r="R2166">
        <v>5.6486168424966902E-4</v>
      </c>
      <c r="S2166">
        <v>5.9848104495207818E-2</v>
      </c>
      <c r="T2166">
        <v>1.0282961829471904</v>
      </c>
      <c r="U2166">
        <v>0</v>
      </c>
      <c r="V2166">
        <v>9.6977277842782275E-2</v>
      </c>
      <c r="W2166">
        <v>3.5592610603553503E-2</v>
      </c>
      <c r="X2166">
        <v>7.6843057688732244E-3</v>
      </c>
      <c r="Y2166">
        <v>1.5373672979234303E-3</v>
      </c>
    </row>
    <row r="2167" spans="1:25" x14ac:dyDescent="0.25">
      <c r="A2167" s="1096"/>
      <c r="B2167" s="1455">
        <v>1917</v>
      </c>
      <c r="C2167" s="1100">
        <v>1.0059379183510551</v>
      </c>
      <c r="D2167" s="1100">
        <v>1.046150477580976</v>
      </c>
      <c r="E2167" s="1100">
        <v>0.9710465900004841</v>
      </c>
      <c r="F2167" s="1100">
        <v>0.95798839965926375</v>
      </c>
      <c r="G2167" s="1100">
        <v>0.99608400703179734</v>
      </c>
      <c r="H2167" s="1100">
        <v>0.98897913093721834</v>
      </c>
      <c r="I2167" s="1100">
        <v>1.0019364550018264</v>
      </c>
      <c r="K2167">
        <v>1.2641233983062456</v>
      </c>
      <c r="L2167">
        <v>0</v>
      </c>
      <c r="M2167">
        <v>6.1615705109845662E-4</v>
      </c>
      <c r="N2167">
        <v>5.1905911563942829E-2</v>
      </c>
      <c r="O2167">
        <v>7.5712021113958179E-3</v>
      </c>
      <c r="P2167">
        <v>1.5289344453568818E-2</v>
      </c>
      <c r="Q2167">
        <v>4.2568051374628082E-4</v>
      </c>
      <c r="R2167">
        <v>6.1431861680008733E-4</v>
      </c>
      <c r="S2167">
        <v>5.8532404156737328E-2</v>
      </c>
      <c r="T2167">
        <v>0.98984450510196076</v>
      </c>
      <c r="U2167">
        <v>0</v>
      </c>
      <c r="V2167">
        <v>9.735154893299891E-2</v>
      </c>
      <c r="W2167">
        <v>3.4697403027462187E-2</v>
      </c>
      <c r="X2167">
        <v>6.8352641138788124E-3</v>
      </c>
      <c r="Y2167">
        <v>1.6719727648522357E-3</v>
      </c>
    </row>
    <row r="2168" spans="1:25" x14ac:dyDescent="0.25">
      <c r="A2168" s="1096"/>
      <c r="B2168" s="1455">
        <v>1918</v>
      </c>
      <c r="C2168" s="1100">
        <v>1.0108510107458988</v>
      </c>
      <c r="D2168" s="1100">
        <v>0.99158862443973517</v>
      </c>
      <c r="E2168" s="1100">
        <v>0.96417947298998785</v>
      </c>
      <c r="F2168" s="1100">
        <v>1.0010971028302271</v>
      </c>
      <c r="G2168" s="1100">
        <v>0.97637167478688147</v>
      </c>
      <c r="H2168" s="1100">
        <v>1.0290908468994877</v>
      </c>
      <c r="I2168" s="1100">
        <v>0.99411985312897344</v>
      </c>
      <c r="K2168">
        <v>1.3154378951172765</v>
      </c>
      <c r="L2168">
        <v>0</v>
      </c>
      <c r="M2168">
        <v>6.6115251526150894E-4</v>
      </c>
      <c r="N2168">
        <v>5.4556424504658113E-2</v>
      </c>
      <c r="O2168">
        <v>7.6959103912000292E-3</v>
      </c>
      <c r="P2168">
        <v>1.5817088295018985E-2</v>
      </c>
      <c r="Q2168">
        <v>4.2966173250816244E-4</v>
      </c>
      <c r="R2168">
        <v>6.5925671858580966E-4</v>
      </c>
      <c r="S2168">
        <v>6.0680000000161008E-2</v>
      </c>
      <c r="T2168">
        <v>1.0345979966799301</v>
      </c>
      <c r="U2168">
        <v>0</v>
      </c>
      <c r="V2168">
        <v>9.6270940098154664E-2</v>
      </c>
      <c r="W2168">
        <v>3.6622218888233617E-2</v>
      </c>
      <c r="X2168">
        <v>6.9752708600137932E-3</v>
      </c>
      <c r="Y2168">
        <v>1.7942794640716994E-3</v>
      </c>
    </row>
    <row r="2169" spans="1:25" x14ac:dyDescent="0.25">
      <c r="A2169" s="1096"/>
      <c r="B2169" s="1455">
        <v>1919</v>
      </c>
      <c r="C2169" s="1100">
        <v>0.97222903286019335</v>
      </c>
      <c r="D2169" s="1100">
        <v>0.99866073551152168</v>
      </c>
      <c r="E2169" s="1100">
        <v>0.97967244228967476</v>
      </c>
      <c r="F2169" s="1100">
        <v>1.0348673510828357</v>
      </c>
      <c r="G2169" s="1100">
        <v>1.0017280859631075</v>
      </c>
      <c r="H2169" s="1100">
        <v>0.97170040198797103</v>
      </c>
      <c r="I2169" s="1100">
        <v>1.0008676966418071</v>
      </c>
      <c r="K2169">
        <v>1.3533018644312411</v>
      </c>
      <c r="L2169">
        <v>0</v>
      </c>
      <c r="M2169">
        <v>6.2685811276911717E-4</v>
      </c>
      <c r="N2169">
        <v>5.420133913997191E-2</v>
      </c>
      <c r="O2169">
        <v>7.9828138052829099E-3</v>
      </c>
      <c r="P2169">
        <v>1.6508598293921532E-2</v>
      </c>
      <c r="Q2169">
        <v>4.5278535869189485E-4</v>
      </c>
      <c r="R2169">
        <v>6.2495449089381414E-4</v>
      </c>
      <c r="S2169">
        <v>6.1489259304289307E-2</v>
      </c>
      <c r="T2169">
        <v>1.0690076427958755</v>
      </c>
      <c r="U2169">
        <v>0</v>
      </c>
      <c r="V2169">
        <v>9.8487967400920154E-2</v>
      </c>
      <c r="W2169">
        <v>3.6042906155090537E-2</v>
      </c>
      <c r="X2169">
        <v>7.429535691051297E-3</v>
      </c>
      <c r="Y2169">
        <v>1.7009201080204065E-3</v>
      </c>
    </row>
    <row r="2170" spans="1:25" x14ac:dyDescent="0.25">
      <c r="A2170" s="1096"/>
      <c r="B2170" s="1455">
        <v>1920</v>
      </c>
      <c r="C2170" s="1100">
        <v>0.97385736859779526</v>
      </c>
      <c r="D2170" s="1100">
        <v>1.0072230505571984</v>
      </c>
      <c r="E2170" s="1100">
        <v>1.0057989011126771</v>
      </c>
      <c r="F2170" s="1100">
        <v>1.0012337670532725</v>
      </c>
      <c r="G2170" s="1100">
        <v>0.97682481105398578</v>
      </c>
      <c r="H2170" s="1100">
        <v>1.0046526504077915</v>
      </c>
      <c r="I2170" s="1100">
        <v>0.97784962867254632</v>
      </c>
      <c r="K2170">
        <v>1.3201076854414262</v>
      </c>
      <c r="L2170">
        <v>0</v>
      </c>
      <c r="M2170">
        <v>6.1084844889253674E-4</v>
      </c>
      <c r="N2170">
        <v>5.7163181567905633E-2</v>
      </c>
      <c r="O2170">
        <v>7.948856653640651E-3</v>
      </c>
      <c r="P2170">
        <v>1.6321989267861017E-2</v>
      </c>
      <c r="Q2170">
        <v>4.6290569681759462E-4</v>
      </c>
      <c r="R2170">
        <v>6.090542881099848E-4</v>
      </c>
      <c r="S2170">
        <v>6.0732371800561166E-2</v>
      </c>
      <c r="T2170">
        <v>1.0334801956834847</v>
      </c>
      <c r="U2170">
        <v>0</v>
      </c>
      <c r="V2170">
        <v>9.726993248955948E-2</v>
      </c>
      <c r="W2170">
        <v>3.7423415918527804E-2</v>
      </c>
      <c r="X2170">
        <v>7.648985526305602E-3</v>
      </c>
      <c r="Y2170">
        <v>1.6576449975432626E-3</v>
      </c>
    </row>
    <row r="2171" spans="1:25" x14ac:dyDescent="0.25">
      <c r="A2171" s="1096"/>
      <c r="B2171" s="1455">
        <v>1921</v>
      </c>
      <c r="C2171" s="1100">
        <v>0.9954070322108588</v>
      </c>
      <c r="D2171" s="1100">
        <v>0.96482855378384169</v>
      </c>
      <c r="E2171" s="1100">
        <v>0.99177493333497124</v>
      </c>
      <c r="F2171" s="1100">
        <v>1.0149681256672365</v>
      </c>
      <c r="G2171" s="1100">
        <v>1.0089578957777572</v>
      </c>
      <c r="H2171" s="1100">
        <v>1.0006929873773815</v>
      </c>
      <c r="I2171" s="1100">
        <v>0.98827717833647266</v>
      </c>
      <c r="K2171">
        <v>1.3344215545791156</v>
      </c>
      <c r="L2171">
        <v>0</v>
      </c>
      <c r="M2171">
        <v>6.2346844723096945E-4</v>
      </c>
      <c r="N2171">
        <v>5.5922925741250767E-2</v>
      </c>
      <c r="O2171">
        <v>7.9081870427968846E-3</v>
      </c>
      <c r="P2171">
        <v>1.6371162068211785E-2</v>
      </c>
      <c r="Q2171">
        <v>4.5408649080421924E-4</v>
      </c>
      <c r="R2171">
        <v>6.2162997344682787E-4</v>
      </c>
      <c r="S2171">
        <v>6.1316889579985802E-2</v>
      </c>
      <c r="T2171">
        <v>1.0480810809225671</v>
      </c>
      <c r="U2171">
        <v>0</v>
      </c>
      <c r="V2171">
        <v>9.8257801645800252E-2</v>
      </c>
      <c r="W2171">
        <v>3.6918180501520341E-2</v>
      </c>
      <c r="X2171">
        <v>7.5012071925056869E-3</v>
      </c>
      <c r="Y2171">
        <v>1.6918718674565918E-3</v>
      </c>
    </row>
    <row r="2172" spans="1:25" x14ac:dyDescent="0.25">
      <c r="A2172" s="1096"/>
      <c r="B2172" s="1455">
        <v>1922</v>
      </c>
      <c r="C2172" s="1100">
        <v>0.99479107126135569</v>
      </c>
      <c r="D2172" s="1100">
        <v>1.0201703711272478</v>
      </c>
      <c r="E2172" s="1100">
        <v>1.0259807437270074</v>
      </c>
      <c r="F2172" s="1100">
        <v>0.97736148286227065</v>
      </c>
      <c r="G2172" s="1100">
        <v>1.000760912955897</v>
      </c>
      <c r="H2172" s="1100">
        <v>0.98056973689112958</v>
      </c>
      <c r="I2172" s="1100">
        <v>0.99953743003307405</v>
      </c>
      <c r="K2172">
        <v>1.2907129505383208</v>
      </c>
      <c r="L2172">
        <v>0</v>
      </c>
      <c r="M2172">
        <v>5.568206729266793E-4</v>
      </c>
      <c r="N2172">
        <v>5.5375354569495903E-2</v>
      </c>
      <c r="O2172">
        <v>7.7468839230429958E-3</v>
      </c>
      <c r="P2172">
        <v>1.6209335719800006E-2</v>
      </c>
      <c r="Q2172">
        <v>4.6030772047064226E-4</v>
      </c>
      <c r="R2172">
        <v>5.5514503306349297E-4</v>
      </c>
      <c r="S2172">
        <v>5.9645030929363289E-2</v>
      </c>
      <c r="T2172">
        <v>1.0082612628438758</v>
      </c>
      <c r="U2172">
        <v>0</v>
      </c>
      <c r="V2172">
        <v>9.7915077594243408E-2</v>
      </c>
      <c r="W2172">
        <v>3.5826053469882574E-2</v>
      </c>
      <c r="X2172">
        <v>7.7643976315200959E-3</v>
      </c>
      <c r="Y2172">
        <v>1.5109217764878618E-3</v>
      </c>
    </row>
    <row r="2173" spans="1:25" x14ac:dyDescent="0.25">
      <c r="A2173" s="1096"/>
      <c r="B2173" s="1455">
        <v>1923</v>
      </c>
      <c r="C2173" s="1100">
        <v>1.0208819689199506</v>
      </c>
      <c r="D2173" s="1100">
        <v>1.0111248774711326</v>
      </c>
      <c r="E2173" s="1100">
        <v>1.0114668474463158</v>
      </c>
      <c r="F2173" s="1100">
        <v>1.0291601726414579</v>
      </c>
      <c r="G2173" s="1100">
        <v>1.0004461162136424</v>
      </c>
      <c r="H2173" s="1100">
        <v>1.0215001187926998</v>
      </c>
      <c r="I2173" s="1100">
        <v>1.0160669142319254</v>
      </c>
      <c r="K2173">
        <v>1.3461104444364689</v>
      </c>
      <c r="L2173">
        <v>0</v>
      </c>
      <c r="M2173">
        <v>5.8464373603381325E-4</v>
      </c>
      <c r="N2173">
        <v>5.565798784868748E-2</v>
      </c>
      <c r="O2173">
        <v>7.5723514340106813E-3</v>
      </c>
      <c r="P2173">
        <v>1.678248596439269E-2</v>
      </c>
      <c r="Q2173">
        <v>4.4348726140137153E-4</v>
      </c>
      <c r="R2173">
        <v>5.8295486418048878E-4</v>
      </c>
      <c r="S2173">
        <v>6.0589917757624373E-2</v>
      </c>
      <c r="T2173">
        <v>1.0621338905233348</v>
      </c>
      <c r="U2173">
        <v>0</v>
      </c>
      <c r="V2173">
        <v>9.7246680720327008E-2</v>
      </c>
      <c r="W2173">
        <v>3.63162876565052E-2</v>
      </c>
      <c r="X2173">
        <v>7.7824331727570535E-3</v>
      </c>
      <c r="Y2173">
        <v>1.5866109692799601E-3</v>
      </c>
    </row>
    <row r="2174" spans="1:25" x14ac:dyDescent="0.25">
      <c r="A2174" s="1096"/>
      <c r="B2174" s="1455">
        <v>1924</v>
      </c>
      <c r="C2174" s="1100">
        <v>0.99474492306821272</v>
      </c>
      <c r="D2174" s="1100">
        <v>1.0189248363356915</v>
      </c>
      <c r="E2174" s="1100">
        <v>1.0026150938809011</v>
      </c>
      <c r="F2174" s="1100">
        <v>0.99228799575462523</v>
      </c>
      <c r="G2174" s="1100">
        <v>1.0182519814015478</v>
      </c>
      <c r="H2174" s="1100">
        <v>1.0296790159805622</v>
      </c>
      <c r="I2174" s="1100">
        <v>0.99225224608330775</v>
      </c>
      <c r="K2174">
        <v>1.3116155566799939</v>
      </c>
      <c r="L2174">
        <v>0</v>
      </c>
      <c r="M2174">
        <v>6.1413869432040788E-4</v>
      </c>
      <c r="N2174">
        <v>5.6925164984973041E-2</v>
      </c>
      <c r="O2174">
        <v>7.745294577576522E-3</v>
      </c>
      <c r="P2174">
        <v>1.6178302465296151E-2</v>
      </c>
      <c r="Q2174">
        <v>4.4961331016230238E-4</v>
      </c>
      <c r="R2174">
        <v>6.1237871154526369E-4</v>
      </c>
      <c r="S2174">
        <v>6.0714244418921558E-2</v>
      </c>
      <c r="T2174">
        <v>1.024339950360474</v>
      </c>
      <c r="U2174">
        <v>0</v>
      </c>
      <c r="V2174">
        <v>9.8736134262746897E-2</v>
      </c>
      <c r="W2174">
        <v>3.7337945303866527E-2</v>
      </c>
      <c r="X2174">
        <v>7.5239739965132267E-3</v>
      </c>
      <c r="Y2174">
        <v>1.6666929822382003E-3</v>
      </c>
    </row>
    <row r="2175" spans="1:25" x14ac:dyDescent="0.25">
      <c r="A2175" s="1096"/>
      <c r="B2175" s="1455">
        <v>1925</v>
      </c>
      <c r="C2175" s="1100">
        <v>0.96461714748172078</v>
      </c>
      <c r="D2175" s="1100">
        <v>0.99029500679859706</v>
      </c>
      <c r="E2175" s="1100">
        <v>0.98435168008129081</v>
      </c>
      <c r="F2175" s="1100">
        <v>0.98543436588806077</v>
      </c>
      <c r="G2175" s="1100">
        <v>0.9892807758519363</v>
      </c>
      <c r="H2175" s="1100">
        <v>1.0076975072167347</v>
      </c>
      <c r="I2175" s="1100">
        <v>0.98933798889776592</v>
      </c>
      <c r="K2175">
        <v>1.3070219291676113</v>
      </c>
      <c r="L2175">
        <v>0</v>
      </c>
      <c r="M2175">
        <v>6.5108633711201316E-4</v>
      </c>
      <c r="N2175">
        <v>5.7105026583058729E-2</v>
      </c>
      <c r="O2175">
        <v>8.0741177989342456E-3</v>
      </c>
      <c r="P2175">
        <v>1.5887735609762078E-2</v>
      </c>
      <c r="Q2175">
        <v>4.6014492596016949E-4</v>
      </c>
      <c r="R2175">
        <v>6.4917976947862735E-4</v>
      </c>
      <c r="S2175">
        <v>6.2674775945113462E-2</v>
      </c>
      <c r="T2175">
        <v>1.0178041353144107</v>
      </c>
      <c r="U2175">
        <v>0</v>
      </c>
      <c r="V2175">
        <v>9.8092205801991905E-2</v>
      </c>
      <c r="W2175">
        <v>3.7866834939321123E-2</v>
      </c>
      <c r="X2175">
        <v>7.2920054862248909E-3</v>
      </c>
      <c r="Y2175">
        <v>1.7668533304673294E-3</v>
      </c>
    </row>
    <row r="2176" spans="1:25" x14ac:dyDescent="0.25">
      <c r="A2176" s="1096"/>
      <c r="B2176" s="1455">
        <v>1926</v>
      </c>
      <c r="C2176" s="1100">
        <v>0.99807918029821319</v>
      </c>
      <c r="D2176" s="1100">
        <v>1.0120970257748487</v>
      </c>
      <c r="E2176" s="1100">
        <v>0.98963506247530697</v>
      </c>
      <c r="F2176" s="1100">
        <v>1.0040022919805895</v>
      </c>
      <c r="G2176" s="1100">
        <v>1.0164401882994842</v>
      </c>
      <c r="H2176" s="1100">
        <v>1.0218900159218856</v>
      </c>
      <c r="I2176" s="1100">
        <v>0.97057422496192769</v>
      </c>
      <c r="K2176">
        <v>1.3205766304132875</v>
      </c>
      <c r="L2176">
        <v>0</v>
      </c>
      <c r="M2176">
        <v>6.2570498232161623E-4</v>
      </c>
      <c r="N2176">
        <v>5.5765040709222391E-2</v>
      </c>
      <c r="O2176">
        <v>7.7370336286526273E-3</v>
      </c>
      <c r="P2176">
        <v>1.6167209573905467E-2</v>
      </c>
      <c r="Q2176">
        <v>4.4329941897962619E-4</v>
      </c>
      <c r="R2176">
        <v>6.2389818567648613E-4</v>
      </c>
      <c r="S2176">
        <v>5.9159694371111175E-2</v>
      </c>
      <c r="T2176">
        <v>1.0368220352501198</v>
      </c>
      <c r="U2176">
        <v>0</v>
      </c>
      <c r="V2176">
        <v>9.8550712002905286E-2</v>
      </c>
      <c r="W2176">
        <v>3.6861147030990575E-2</v>
      </c>
      <c r="X2176">
        <v>7.3742200306157139E-3</v>
      </c>
      <c r="Y2176">
        <v>1.6980451934297616E-3</v>
      </c>
    </row>
    <row r="2177" spans="1:25" x14ac:dyDescent="0.25">
      <c r="A2177" s="1096"/>
      <c r="B2177" s="1455">
        <v>1927</v>
      </c>
      <c r="C2177" s="1100">
        <v>1.0048072721715176</v>
      </c>
      <c r="D2177" s="1100">
        <v>0.97438444183687567</v>
      </c>
      <c r="E2177" s="1100">
        <v>0.97321815745063456</v>
      </c>
      <c r="F2177" s="1100">
        <v>0.98983796921687472</v>
      </c>
      <c r="G2177" s="1100">
        <v>1.0347007693689076</v>
      </c>
      <c r="H2177" s="1100">
        <v>1.0237465499601357</v>
      </c>
      <c r="I2177" s="1100">
        <v>0.99234012005701167</v>
      </c>
      <c r="K2177">
        <v>1.3087009802268244</v>
      </c>
      <c r="L2177">
        <v>0</v>
      </c>
      <c r="M2177">
        <v>6.5400793430402907E-4</v>
      </c>
      <c r="N2177">
        <v>5.5463555275717474E-2</v>
      </c>
      <c r="O2177">
        <v>7.7988127502428969E-3</v>
      </c>
      <c r="P2177">
        <v>1.5816870296533177E-2</v>
      </c>
      <c r="Q2177">
        <v>4.3945073788588095E-4</v>
      </c>
      <c r="R2177">
        <v>6.5212283434365307E-4</v>
      </c>
      <c r="S2177">
        <v>6.1354969462549383E-2</v>
      </c>
      <c r="T2177">
        <v>1.0226874002383755</v>
      </c>
      <c r="U2177">
        <v>0</v>
      </c>
      <c r="V2177">
        <v>9.9249478349122913E-2</v>
      </c>
      <c r="W2177">
        <v>3.7026684215979447E-2</v>
      </c>
      <c r="X2177">
        <v>7.0907806175283935E-3</v>
      </c>
      <c r="Y2177">
        <v>1.7748633828488572E-3</v>
      </c>
    </row>
    <row r="2178" spans="1:25" x14ac:dyDescent="0.25">
      <c r="A2178" s="1096"/>
      <c r="B2178" s="1455">
        <v>1928</v>
      </c>
      <c r="C2178" s="1100">
        <v>0.98142068747553879</v>
      </c>
      <c r="D2178" s="1100">
        <v>0.99173153692155536</v>
      </c>
      <c r="E2178" s="1100">
        <v>1.0343088443706254</v>
      </c>
      <c r="F2178" s="1100">
        <v>1.0178646509857696</v>
      </c>
      <c r="G2178" s="1100">
        <v>0.98510092957980122</v>
      </c>
      <c r="H2178" s="1100">
        <v>1.0048220474934715</v>
      </c>
      <c r="I2178" s="1100">
        <v>1.0019100470044418</v>
      </c>
      <c r="K2178">
        <v>1.3410543825060546</v>
      </c>
      <c r="L2178">
        <v>0</v>
      </c>
      <c r="M2178">
        <v>5.7488006667157738E-4</v>
      </c>
      <c r="N2178">
        <v>5.8629095510498899E-2</v>
      </c>
      <c r="O2178">
        <v>7.9438300859992796E-3</v>
      </c>
      <c r="P2178">
        <v>1.6920084698870075E-2</v>
      </c>
      <c r="Q2178">
        <v>4.7591219685524618E-4</v>
      </c>
      <c r="R2178">
        <v>5.7319183550743572E-4</v>
      </c>
      <c r="S2178">
        <v>6.2296345210090615E-2</v>
      </c>
      <c r="T2178">
        <v>1.0498002227203123</v>
      </c>
      <c r="U2178">
        <v>0</v>
      </c>
      <c r="V2178">
        <v>9.7506331209852262E-2</v>
      </c>
      <c r="W2178">
        <v>3.7748211999895163E-2</v>
      </c>
      <c r="X2178">
        <v>8.1759978812306604E-3</v>
      </c>
      <c r="Y2178">
        <v>1.560039223613447E-3</v>
      </c>
    </row>
    <row r="2179" spans="1:25" x14ac:dyDescent="0.25">
      <c r="A2179" s="1096"/>
      <c r="B2179" s="1455">
        <v>1929</v>
      </c>
      <c r="C2179" s="1100">
        <v>0.98490294958100555</v>
      </c>
      <c r="D2179" s="1100">
        <v>0.95749056665416843</v>
      </c>
      <c r="E2179" s="1100">
        <v>1.0295005612592087</v>
      </c>
      <c r="F2179" s="1100">
        <v>1.0025897944839843</v>
      </c>
      <c r="G2179" s="1100">
        <v>0.97314612818860424</v>
      </c>
      <c r="H2179" s="1100">
        <v>0.99658932281550228</v>
      </c>
      <c r="I2179" s="1100">
        <v>0.98791676493623237</v>
      </c>
      <c r="K2179">
        <v>1.3241540355364183</v>
      </c>
      <c r="L2179">
        <v>0</v>
      </c>
      <c r="M2179">
        <v>5.8199940967228929E-4</v>
      </c>
      <c r="N2179">
        <v>5.8499713083429557E-2</v>
      </c>
      <c r="O2179">
        <v>8.0265566290393768E-3</v>
      </c>
      <c r="P2179">
        <v>1.6631585853341284E-2</v>
      </c>
      <c r="Q2179">
        <v>4.7859010619367938E-4</v>
      </c>
      <c r="R2179">
        <v>5.8027615234993834E-4</v>
      </c>
      <c r="S2179">
        <v>6.2112901330947108E-2</v>
      </c>
      <c r="T2179">
        <v>1.0341850459027593</v>
      </c>
      <c r="U2179">
        <v>0</v>
      </c>
      <c r="V2179">
        <v>9.683310979329969E-2</v>
      </c>
      <c r="W2179">
        <v>3.7770025132359157E-2</v>
      </c>
      <c r="X2179">
        <v>8.0389105636553826E-3</v>
      </c>
      <c r="Y2179">
        <v>1.5793203987143197E-3</v>
      </c>
    </row>
    <row r="2180" spans="1:25" x14ac:dyDescent="0.25">
      <c r="A2180" s="1096"/>
      <c r="B2180" s="1455">
        <v>1930</v>
      </c>
      <c r="C2180" s="1100">
        <v>0.99734089566615769</v>
      </c>
      <c r="D2180" s="1100">
        <v>0.99905147680853335</v>
      </c>
      <c r="E2180" s="1100">
        <v>0.97170492335710235</v>
      </c>
      <c r="F2180" s="1100">
        <v>0.98987994818775271</v>
      </c>
      <c r="G2180" s="1100">
        <v>0.96924565136910634</v>
      </c>
      <c r="H2180" s="1100">
        <v>1.0337748048144138</v>
      </c>
      <c r="I2180" s="1100">
        <v>0.99461602726795029</v>
      </c>
      <c r="K2180">
        <v>1.3063610714503862</v>
      </c>
      <c r="L2180">
        <v>0</v>
      </c>
      <c r="M2180">
        <v>6.6079983181425528E-4</v>
      </c>
      <c r="N2180">
        <v>5.5784976606703715E-2</v>
      </c>
      <c r="O2180">
        <v>7.7786443592499921E-3</v>
      </c>
      <c r="P2180">
        <v>1.5761008755407754E-2</v>
      </c>
      <c r="Q2180">
        <v>4.3763781858344002E-4</v>
      </c>
      <c r="R2180">
        <v>6.5891363156110746E-4</v>
      </c>
      <c r="S2180">
        <v>6.1436590265022656E-2</v>
      </c>
      <c r="T2180">
        <v>1.0227765920577716</v>
      </c>
      <c r="U2180">
        <v>0</v>
      </c>
      <c r="V2180">
        <v>9.6266425878713924E-2</v>
      </c>
      <c r="W2180">
        <v>3.727550868647702E-2</v>
      </c>
      <c r="X2180">
        <v>7.0522275284209054E-3</v>
      </c>
      <c r="Y2180">
        <v>1.793345694289067E-3</v>
      </c>
    </row>
    <row r="2181" spans="1:25" x14ac:dyDescent="0.25">
      <c r="A2181" s="1096"/>
      <c r="B2181" s="1455">
        <v>1931</v>
      </c>
      <c r="C2181" s="1100">
        <v>0.99097693847550494</v>
      </c>
      <c r="D2181" s="1100">
        <v>1.0263670152311009</v>
      </c>
      <c r="E2181" s="1100">
        <v>0.98612304941929485</v>
      </c>
      <c r="F2181" s="1100">
        <v>0.99541454904989313</v>
      </c>
      <c r="G2181" s="1100">
        <v>0.98614813373563259</v>
      </c>
      <c r="H2181" s="1100">
        <v>0.99828730741170046</v>
      </c>
      <c r="I2181" s="1100">
        <v>0.99665313616329276</v>
      </c>
      <c r="K2181">
        <v>1.308856947952789</v>
      </c>
      <c r="L2181">
        <v>0</v>
      </c>
      <c r="M2181">
        <v>6.1666325825610524E-4</v>
      </c>
      <c r="N2181">
        <v>5.4374908333409473E-2</v>
      </c>
      <c r="O2181">
        <v>7.7481060388740501E-3</v>
      </c>
      <c r="P2181">
        <v>1.6000178847901479E-2</v>
      </c>
      <c r="Q2181">
        <v>4.4235887901695841E-4</v>
      </c>
      <c r="R2181">
        <v>6.148404694946289E-4</v>
      </c>
      <c r="S2181">
        <v>6.0008068729684914E-2</v>
      </c>
      <c r="T2181">
        <v>1.028058889270546</v>
      </c>
      <c r="U2181">
        <v>0</v>
      </c>
      <c r="V2181">
        <v>9.7259408916365017E-2</v>
      </c>
      <c r="W2181">
        <v>3.6018084352941002E-2</v>
      </c>
      <c r="X2181">
        <v>7.2753742969514385E-3</v>
      </c>
      <c r="Y2181">
        <v>1.6733930758580826E-3</v>
      </c>
    </row>
    <row r="2182" spans="1:25" x14ac:dyDescent="0.25">
      <c r="A2182" s="1096"/>
      <c r="B2182" s="1455">
        <v>1932</v>
      </c>
      <c r="C2182" s="1100">
        <v>1.0415159976615169</v>
      </c>
      <c r="D2182" s="1100">
        <v>0.96900002743255997</v>
      </c>
      <c r="E2182" s="1100">
        <v>1.0307127569394745</v>
      </c>
      <c r="F2182" s="1100">
        <v>1.0331182871639337</v>
      </c>
      <c r="G2182" s="1100">
        <v>0.98801793173292418</v>
      </c>
      <c r="H2182" s="1100">
        <v>1.0102977875998833</v>
      </c>
      <c r="I2182" s="1100">
        <v>1.0109787074635965</v>
      </c>
      <c r="K2182">
        <v>1.3485189247771847</v>
      </c>
      <c r="L2182">
        <v>0</v>
      </c>
      <c r="M2182">
        <v>5.5387335324086351E-4</v>
      </c>
      <c r="N2182">
        <v>5.5878684398905296E-2</v>
      </c>
      <c r="O2182">
        <v>7.5543614718180463E-3</v>
      </c>
      <c r="P2182">
        <v>1.7048412405418031E-2</v>
      </c>
      <c r="Q2182">
        <v>4.5097521221097839E-4</v>
      </c>
      <c r="R2182">
        <v>5.522556275287761E-4</v>
      </c>
      <c r="S2182">
        <v>6.0135738037431052E-2</v>
      </c>
      <c r="T2182">
        <v>1.0656394446350235</v>
      </c>
      <c r="U2182">
        <v>0</v>
      </c>
      <c r="V2182">
        <v>9.6185638639110851E-2</v>
      </c>
      <c r="W2182">
        <v>3.6052396982543713E-2</v>
      </c>
      <c r="X2182">
        <v>8.0718329533185102E-3</v>
      </c>
      <c r="Y2182">
        <v>1.503057767114641E-3</v>
      </c>
    </row>
    <row r="2183" spans="1:25" x14ac:dyDescent="0.25">
      <c r="A2183" s="1096"/>
      <c r="B2183" s="1455">
        <v>1933</v>
      </c>
      <c r="C2183" s="1100">
        <v>1.0207651584526374</v>
      </c>
      <c r="D2183" s="1100">
        <v>1.0038703877698014</v>
      </c>
      <c r="E2183" s="1100">
        <v>1.0354614235296908</v>
      </c>
      <c r="F2183" s="1100">
        <v>0.96929744524288042</v>
      </c>
      <c r="G2183" s="1100">
        <v>0.979635127903276</v>
      </c>
      <c r="H2183" s="1100">
        <v>0.97702026582665891</v>
      </c>
      <c r="I2183" s="1100">
        <v>1.0106977571713547</v>
      </c>
      <c r="K2183">
        <v>1.2783457084764696</v>
      </c>
      <c r="L2183">
        <v>0</v>
      </c>
      <c r="M2183">
        <v>5.3353611243018488E-4</v>
      </c>
      <c r="N2183">
        <v>5.4597379026589669E-2</v>
      </c>
      <c r="O2183">
        <v>7.6008437401727785E-3</v>
      </c>
      <c r="P2183">
        <v>1.6171684805477732E-2</v>
      </c>
      <c r="Q2183">
        <v>4.5588181495673035E-4</v>
      </c>
      <c r="R2183">
        <v>5.319247098073298E-4</v>
      </c>
      <c r="S2183">
        <v>5.918913883056743E-2</v>
      </c>
      <c r="T2183">
        <v>0.99967711932640424</v>
      </c>
      <c r="U2183">
        <v>0</v>
      </c>
      <c r="V2183">
        <v>9.6269280760950218E-2</v>
      </c>
      <c r="W2183">
        <v>3.5128979589177489E-2</v>
      </c>
      <c r="X2183">
        <v>7.8092882736348571E-3</v>
      </c>
      <c r="Y2183">
        <v>1.4477237111620901E-3</v>
      </c>
    </row>
    <row r="2184" spans="1:25" x14ac:dyDescent="0.25">
      <c r="A2184" s="1096"/>
      <c r="B2184" s="1455">
        <v>1934</v>
      </c>
      <c r="C2184" s="1100">
        <v>1.020218267030379</v>
      </c>
      <c r="D2184" s="1100">
        <v>0.99718687114423632</v>
      </c>
      <c r="E2184" s="1100">
        <v>1.0078914635846516</v>
      </c>
      <c r="F2184" s="1100">
        <v>1.019263999207628</v>
      </c>
      <c r="G2184" s="1100">
        <v>1.022155610255542</v>
      </c>
      <c r="H2184" s="1100">
        <v>0.97613311944505754</v>
      </c>
      <c r="I2184" s="1100">
        <v>1.0230216781038206</v>
      </c>
      <c r="K2184">
        <v>1.3325225907154699</v>
      </c>
      <c r="L2184">
        <v>0</v>
      </c>
      <c r="M2184">
        <v>5.6634541786323956E-4</v>
      </c>
      <c r="N2184">
        <v>5.3329952103712559E-2</v>
      </c>
      <c r="O2184">
        <v>7.6186027889012598E-3</v>
      </c>
      <c r="P2184">
        <v>1.660743851587778E-2</v>
      </c>
      <c r="Q2184">
        <v>4.4460386712129633E-4</v>
      </c>
      <c r="R2184">
        <v>5.6463336897818529E-4</v>
      </c>
      <c r="S2184">
        <v>6.0104742261628478E-2</v>
      </c>
      <c r="T2184">
        <v>1.0520280714147867</v>
      </c>
      <c r="U2184">
        <v>0</v>
      </c>
      <c r="V2184">
        <v>9.8308791519222213E-2</v>
      </c>
      <c r="W2184">
        <v>3.4870727044468829E-2</v>
      </c>
      <c r="X2184">
        <v>7.6746273496164129E-3</v>
      </c>
      <c r="Y2184">
        <v>1.5367458990185605E-3</v>
      </c>
    </row>
    <row r="2185" spans="1:25" x14ac:dyDescent="0.25">
      <c r="A2185" s="1096"/>
      <c r="B2185" s="1455">
        <v>1935</v>
      </c>
      <c r="C2185" s="1100">
        <v>0.99892272361032941</v>
      </c>
      <c r="D2185" s="1100">
        <v>0.98408518399926059</v>
      </c>
      <c r="E2185" s="1100">
        <v>1.0009765476224501</v>
      </c>
      <c r="F2185" s="1100">
        <v>0.99542048146444684</v>
      </c>
      <c r="G2185" s="1100">
        <v>0.99205849779429522</v>
      </c>
      <c r="H2185" s="1100">
        <v>0.99369904492800099</v>
      </c>
      <c r="I2185" s="1100">
        <v>1.0185295097467728</v>
      </c>
      <c r="K2185">
        <v>1.3124476882568239</v>
      </c>
      <c r="L2185">
        <v>0</v>
      </c>
      <c r="M2185">
        <v>6.0050911460188987E-4</v>
      </c>
      <c r="N2185">
        <v>5.5381229830694552E-2</v>
      </c>
      <c r="O2185">
        <v>7.8205815774927481E-3</v>
      </c>
      <c r="P2185">
        <v>1.6203494883796132E-2</v>
      </c>
      <c r="Q2185">
        <v>4.532373412163624E-4</v>
      </c>
      <c r="R2185">
        <v>5.9872587972528886E-4</v>
      </c>
      <c r="S2185">
        <v>6.2096751048007881E-2</v>
      </c>
      <c r="T2185">
        <v>1.0276220795518285</v>
      </c>
      <c r="U2185">
        <v>0</v>
      </c>
      <c r="V2185">
        <v>9.7362925567736194E-2</v>
      </c>
      <c r="W2185">
        <v>3.6360601317239748E-2</v>
      </c>
      <c r="X2185">
        <v>7.5190358990082102E-3</v>
      </c>
      <c r="Y2185">
        <v>1.6295344746790291E-3</v>
      </c>
    </row>
    <row r="2186" spans="1:25" x14ac:dyDescent="0.25">
      <c r="A2186" s="1096"/>
      <c r="B2186" s="1455">
        <v>1936</v>
      </c>
      <c r="C2186" s="1100">
        <v>0.98378326925103743</v>
      </c>
      <c r="D2186" s="1100">
        <v>0.95376625409441995</v>
      </c>
      <c r="E2186" s="1100">
        <v>1.0072097005440837</v>
      </c>
      <c r="F2186" s="1100">
        <v>1.0227498133283315</v>
      </c>
      <c r="G2186" s="1100">
        <v>1.0156661644537792</v>
      </c>
      <c r="H2186" s="1100">
        <v>1.0163473542266115</v>
      </c>
      <c r="I2186" s="1100">
        <v>0.97723718338063326</v>
      </c>
      <c r="K2186">
        <v>1.3483880067619862</v>
      </c>
      <c r="L2186">
        <v>0</v>
      </c>
      <c r="M2186">
        <v>6.2338578615853243E-4</v>
      </c>
      <c r="N2186">
        <v>5.8587471547957695E-2</v>
      </c>
      <c r="O2186">
        <v>8.0425442956061598E-3</v>
      </c>
      <c r="P2186">
        <v>1.6685841056541015E-2</v>
      </c>
      <c r="Q2186">
        <v>4.6902391392432337E-4</v>
      </c>
      <c r="R2186">
        <v>6.2157586960091653E-4</v>
      </c>
      <c r="S2186">
        <v>6.2229079351117753E-2</v>
      </c>
      <c r="T2186">
        <v>1.0556465341433292</v>
      </c>
      <c r="U2186">
        <v>0</v>
      </c>
      <c r="V2186">
        <v>9.8893839044943074E-2</v>
      </c>
      <c r="W2186">
        <v>3.8323882196642754E-2</v>
      </c>
      <c r="X2186">
        <v>7.8198765138558259E-3</v>
      </c>
      <c r="Y2186">
        <v>1.69172461462335E-3</v>
      </c>
    </row>
    <row r="2187" spans="1:25" x14ac:dyDescent="0.25">
      <c r="A2187" s="1096"/>
      <c r="B2187" s="1455">
        <v>1937</v>
      </c>
      <c r="C2187" s="1100">
        <v>0.97889244233708395</v>
      </c>
      <c r="D2187" s="1100">
        <v>0.98557569175806292</v>
      </c>
      <c r="E2187" s="1100">
        <v>1.0057219101131847</v>
      </c>
      <c r="F2187" s="1100">
        <v>0.99625229087684308</v>
      </c>
      <c r="G2187" s="1100">
        <v>1.0083217147571912</v>
      </c>
      <c r="H2187" s="1100">
        <v>0.9945604860328553</v>
      </c>
      <c r="I2187" s="1100">
        <v>0.97757358197810762</v>
      </c>
      <c r="K2187">
        <v>1.3157544534251344</v>
      </c>
      <c r="L2187">
        <v>0</v>
      </c>
      <c r="M2187">
        <v>6.0694985205195717E-4</v>
      </c>
      <c r="N2187">
        <v>5.6783449007296198E-2</v>
      </c>
      <c r="O2187">
        <v>7.9769754447009192E-3</v>
      </c>
      <c r="P2187">
        <v>1.6270684860913456E-2</v>
      </c>
      <c r="Q2187">
        <v>4.6450737371440265E-4</v>
      </c>
      <c r="R2187">
        <v>6.0514905227765142E-4</v>
      </c>
      <c r="S2187">
        <v>6.0800977492308637E-2</v>
      </c>
      <c r="T2187">
        <v>1.0283405525338705</v>
      </c>
      <c r="U2187">
        <v>0</v>
      </c>
      <c r="V2187">
        <v>9.8662717329139088E-2</v>
      </c>
      <c r="W2187">
        <v>3.7176507188911835E-2</v>
      </c>
      <c r="X2187">
        <v>7.6328667610866107E-3</v>
      </c>
      <c r="Y2187">
        <v>1.6470162329682977E-3</v>
      </c>
    </row>
    <row r="2188" spans="1:25" x14ac:dyDescent="0.25">
      <c r="A2188" s="1096"/>
      <c r="B2188" s="1455">
        <v>1938</v>
      </c>
      <c r="C2188" s="1100">
        <v>1.0180971101365153</v>
      </c>
      <c r="D2188" s="1100">
        <v>0.99356983359632056</v>
      </c>
      <c r="E2188" s="1100">
        <v>1.0154792454779167</v>
      </c>
      <c r="F2188" s="1100">
        <v>0.99703455228541027</v>
      </c>
      <c r="G2188" s="1100">
        <v>1.0245856164986424</v>
      </c>
      <c r="H2188" s="1100">
        <v>0.95914696575293124</v>
      </c>
      <c r="I2188" s="1100">
        <v>1.0155393816126412</v>
      </c>
      <c r="K2188">
        <v>1.3078105584537723</v>
      </c>
      <c r="L2188">
        <v>0</v>
      </c>
      <c r="M2188">
        <v>5.4972415941819145E-4</v>
      </c>
      <c r="N2188">
        <v>5.2961304618994384E-2</v>
      </c>
      <c r="O2188">
        <v>7.6474183638196649E-3</v>
      </c>
      <c r="P2188">
        <v>1.6373767359839368E-2</v>
      </c>
      <c r="Q2188">
        <v>4.4968027400359742E-4</v>
      </c>
      <c r="R2188">
        <v>5.4803292625929285E-4</v>
      </c>
      <c r="S2188">
        <v>5.9394987040366318E-2</v>
      </c>
      <c r="T2188">
        <v>1.0288615107625134</v>
      </c>
      <c r="U2188">
        <v>0</v>
      </c>
      <c r="V2188">
        <v>9.8485484113402064E-2</v>
      </c>
      <c r="W2188">
        <v>3.4475286146831444E-2</v>
      </c>
      <c r="X2188">
        <v>7.6712460408885916E-3</v>
      </c>
      <c r="Y2188">
        <v>1.4915649662722067E-3</v>
      </c>
    </row>
    <row r="2189" spans="1:25" x14ac:dyDescent="0.25">
      <c r="A2189" s="1096"/>
      <c r="B2189" s="1455">
        <v>1939</v>
      </c>
      <c r="C2189" s="1100">
        <v>1.0264037072235277</v>
      </c>
      <c r="D2189" s="1100">
        <v>1.0182292260571302</v>
      </c>
      <c r="E2189" s="1100">
        <v>1.0226846519617798</v>
      </c>
      <c r="F2189" s="1100">
        <v>1.0073225267767685</v>
      </c>
      <c r="G2189" s="1100">
        <v>1.0021568526399067</v>
      </c>
      <c r="H2189" s="1100">
        <v>0.99449602041400542</v>
      </c>
      <c r="I2189" s="1100">
        <v>1.0233580068680961</v>
      </c>
      <c r="K2189">
        <v>1.3195029685179003</v>
      </c>
      <c r="L2189">
        <v>0</v>
      </c>
      <c r="M2189">
        <v>5.5152448348174277E-4</v>
      </c>
      <c r="N2189">
        <v>5.4308429597308208E-2</v>
      </c>
      <c r="O2189">
        <v>7.5132211276409833E-3</v>
      </c>
      <c r="P2189">
        <v>1.6590890872512535E-2</v>
      </c>
      <c r="Q2189">
        <v>4.4496687053150564E-4</v>
      </c>
      <c r="R2189">
        <v>5.4988802283731538E-4</v>
      </c>
      <c r="S2189">
        <v>5.9664156653030369E-2</v>
      </c>
      <c r="T2189">
        <v>1.039265968894028</v>
      </c>
      <c r="U2189">
        <v>0</v>
      </c>
      <c r="V2189">
        <v>9.7211321075547641E-2</v>
      </c>
      <c r="W2189">
        <v>3.5203377787147529E-2</v>
      </c>
      <c r="X2189">
        <v>7.8056581731728407E-3</v>
      </c>
      <c r="Y2189">
        <v>1.4966139276251617E-3</v>
      </c>
    </row>
    <row r="2190" spans="1:25" x14ac:dyDescent="0.25">
      <c r="A2190" s="1096"/>
      <c r="B2190" s="1455">
        <v>1940</v>
      </c>
      <c r="C2190" s="1100">
        <v>0.98929836851947273</v>
      </c>
      <c r="D2190" s="1100">
        <v>1.0220133686121795</v>
      </c>
      <c r="E2190" s="1100">
        <v>0.97775571204549439</v>
      </c>
      <c r="F2190" s="1100">
        <v>1.0191731319846336</v>
      </c>
      <c r="G2190" s="1100">
        <v>0.97267025454515121</v>
      </c>
      <c r="H2190" s="1100">
        <v>1.0081989140299641</v>
      </c>
      <c r="I2190" s="1100">
        <v>0.97144907666888691</v>
      </c>
      <c r="K2190">
        <v>1.3329751694868341</v>
      </c>
      <c r="L2190">
        <v>0</v>
      </c>
      <c r="M2190">
        <v>6.358136821408676E-4</v>
      </c>
      <c r="N2190">
        <v>5.4663778519120694E-2</v>
      </c>
      <c r="O2190">
        <v>7.772408155151192E-3</v>
      </c>
      <c r="P2190">
        <v>1.620984647327086E-2</v>
      </c>
      <c r="Q2190">
        <v>4.3999251949580542E-4</v>
      </c>
      <c r="R2190">
        <v>6.3395276317388175E-4</v>
      </c>
      <c r="S2190">
        <v>5.9009978917068329E-2</v>
      </c>
      <c r="T2190">
        <v>1.0528550594744466</v>
      </c>
      <c r="U2190">
        <v>0</v>
      </c>
      <c r="V2190">
        <v>9.6640641681191367E-2</v>
      </c>
      <c r="W2190">
        <v>3.6392558020585483E-2</v>
      </c>
      <c r="X2190">
        <v>7.26735620658394E-3</v>
      </c>
      <c r="Y2190">
        <v>1.7254104388870917E-3</v>
      </c>
    </row>
    <row r="2191" spans="1:25" x14ac:dyDescent="0.25">
      <c r="A2191" s="1096"/>
      <c r="B2191" s="1455">
        <v>1941</v>
      </c>
      <c r="C2191" s="1100">
        <v>0.9940533425339948</v>
      </c>
      <c r="D2191" s="1100">
        <v>1.0097473938639498</v>
      </c>
      <c r="E2191" s="1100">
        <v>0.97889023513545315</v>
      </c>
      <c r="F2191" s="1100">
        <v>1.0235852390257163</v>
      </c>
      <c r="G2191" s="1100">
        <v>1.0277038359502828</v>
      </c>
      <c r="H2191" s="1100">
        <v>0.95977629831303823</v>
      </c>
      <c r="I2191" s="1100">
        <v>1.0400276696033619</v>
      </c>
      <c r="K2191">
        <v>1.3385745065795127</v>
      </c>
      <c r="L2191">
        <v>0</v>
      </c>
      <c r="M2191">
        <v>6.0387943761095462E-4</v>
      </c>
      <c r="N2191">
        <v>5.2089078720867744E-2</v>
      </c>
      <c r="O2191">
        <v>7.7729571687256806E-3</v>
      </c>
      <c r="P2191">
        <v>1.6355409983164905E-2</v>
      </c>
      <c r="Q2191">
        <v>4.4053176898513677E-4</v>
      </c>
      <c r="R2191">
        <v>6.0202281327190372E-4</v>
      </c>
      <c r="S2191">
        <v>6.1741942343012363E-2</v>
      </c>
      <c r="T2191">
        <v>1.0573776610291028</v>
      </c>
      <c r="U2191">
        <v>0</v>
      </c>
      <c r="V2191">
        <v>9.9184087681165947E-2</v>
      </c>
      <c r="W2191">
        <v>3.4654664712602493E-2</v>
      </c>
      <c r="X2191">
        <v>7.3215221552654555E-3</v>
      </c>
      <c r="Y2191">
        <v>1.6385076409590636E-3</v>
      </c>
    </row>
    <row r="2192" spans="1:25" x14ac:dyDescent="0.25">
      <c r="A2192" s="1096"/>
      <c r="B2192" s="1455">
        <v>1942</v>
      </c>
      <c r="C2192" s="1100">
        <v>0.98610574292129083</v>
      </c>
      <c r="D2192" s="1100">
        <v>0.97118683623944957</v>
      </c>
      <c r="E2192" s="1100">
        <v>0.95828083225303329</v>
      </c>
      <c r="F2192" s="1100">
        <v>0.99507727688164571</v>
      </c>
      <c r="G2192" s="1100">
        <v>0.99480235721376831</v>
      </c>
      <c r="H2192" s="1100">
        <v>0.99175752146125873</v>
      </c>
      <c r="I2192" s="1100">
        <v>0.97732905748146148</v>
      </c>
      <c r="K2192">
        <v>1.3102531290928376</v>
      </c>
      <c r="L2192">
        <v>0</v>
      </c>
      <c r="M2192">
        <v>6.6666810678726461E-4</v>
      </c>
      <c r="N2192">
        <v>5.4031275128990815E-2</v>
      </c>
      <c r="O2192">
        <v>7.9534318712484141E-3</v>
      </c>
      <c r="P2192">
        <v>1.568527121475034E-2</v>
      </c>
      <c r="Q2192">
        <v>4.4135706031457747E-4</v>
      </c>
      <c r="R2192">
        <v>6.6468453467111296E-4</v>
      </c>
      <c r="S2192">
        <v>6.0687728727643268E-2</v>
      </c>
      <c r="T2192">
        <v>1.0285582490536129</v>
      </c>
      <c r="U2192">
        <v>0</v>
      </c>
      <c r="V2192">
        <v>9.7770721215467454E-2</v>
      </c>
      <c r="W2192">
        <v>3.6401061125841537E-2</v>
      </c>
      <c r="X2192">
        <v>6.9169650769080717E-3</v>
      </c>
      <c r="Y2192">
        <v>1.8090521901768034E-3</v>
      </c>
    </row>
    <row r="2193" spans="1:25" x14ac:dyDescent="0.25">
      <c r="A2193" s="1096"/>
      <c r="B2193" s="1455">
        <v>1943</v>
      </c>
      <c r="C2193" s="1100">
        <v>0.98328179833331086</v>
      </c>
      <c r="D2193" s="1100">
        <v>0.97459955936073017</v>
      </c>
      <c r="E2193" s="1100">
        <v>0.97663881381837281</v>
      </c>
      <c r="F2193" s="1100">
        <v>1.027451207658441</v>
      </c>
      <c r="G2193" s="1100">
        <v>1.02646410543402</v>
      </c>
      <c r="H2193" s="1100">
        <v>0.99903478453141259</v>
      </c>
      <c r="I2193" s="1100">
        <v>1.0001184312709068</v>
      </c>
      <c r="K2193">
        <v>1.3496210221641827</v>
      </c>
      <c r="L2193">
        <v>0</v>
      </c>
      <c r="M2193">
        <v>6.4754245738098083E-4</v>
      </c>
      <c r="N2193">
        <v>5.5482803309622408E-2</v>
      </c>
      <c r="O2193">
        <v>7.9696957688559812E-3</v>
      </c>
      <c r="P2193">
        <v>1.6393650542362758E-2</v>
      </c>
      <c r="Q2193">
        <v>4.5064821044084227E-4</v>
      </c>
      <c r="R2193">
        <v>6.4562982520499092E-4</v>
      </c>
      <c r="S2193">
        <v>6.2410426039378651E-2</v>
      </c>
      <c r="T2193">
        <v>1.0614416508382447</v>
      </c>
      <c r="U2193">
        <v>0</v>
      </c>
      <c r="V2193">
        <v>9.9394618474151444E-2</v>
      </c>
      <c r="W2193">
        <v>3.6962801054626584E-2</v>
      </c>
      <c r="X2193">
        <v>7.3594490062819391E-3</v>
      </c>
      <c r="Y2193">
        <v>1.7571915523933071E-3</v>
      </c>
    </row>
    <row r="2194" spans="1:25" x14ac:dyDescent="0.25">
      <c r="A2194" s="1096"/>
      <c r="B2194" s="1455">
        <v>1944</v>
      </c>
      <c r="C2194" s="1100">
        <v>0.9654752152487851</v>
      </c>
      <c r="D2194" s="1100">
        <v>0.9819981699767738</v>
      </c>
      <c r="E2194" s="1100">
        <v>0.9688141845502255</v>
      </c>
      <c r="F2194" s="1100">
        <v>1.0020550022851893</v>
      </c>
      <c r="G2194" s="1100">
        <v>1.0071511929426034</v>
      </c>
      <c r="H2194" s="1100">
        <v>0.99729146304965133</v>
      </c>
      <c r="I2194" s="1100">
        <v>1.0107008513810118</v>
      </c>
      <c r="K2194">
        <v>1.3249136238685328</v>
      </c>
      <c r="L2194">
        <v>0</v>
      </c>
      <c r="M2194">
        <v>6.6703919844325718E-4</v>
      </c>
      <c r="N2194">
        <v>5.5815133993440569E-2</v>
      </c>
      <c r="O2194">
        <v>8.0901717294355018E-3</v>
      </c>
      <c r="P2194">
        <v>1.5963160590907074E-2</v>
      </c>
      <c r="Q2194">
        <v>4.5382216885854037E-4</v>
      </c>
      <c r="R2194">
        <v>6.6506553511018398E-4</v>
      </c>
      <c r="S2194">
        <v>6.3909531738136932E-2</v>
      </c>
      <c r="T2194">
        <v>1.0354450570462974</v>
      </c>
      <c r="U2194">
        <v>0</v>
      </c>
      <c r="V2194">
        <v>9.8916376490378488E-2</v>
      </c>
      <c r="W2194">
        <v>3.7361322047570922E-2</v>
      </c>
      <c r="X2194">
        <v>7.1509325790651721E-3</v>
      </c>
      <c r="Y2194">
        <v>1.8100891477751933E-3</v>
      </c>
    </row>
    <row r="2195" spans="1:25" x14ac:dyDescent="0.25">
      <c r="A2195" s="1096"/>
      <c r="B2195" s="1455">
        <v>1945</v>
      </c>
      <c r="C2195" s="1100">
        <v>1.0168292046252709</v>
      </c>
      <c r="D2195" s="1100">
        <v>0.97938152043073512</v>
      </c>
      <c r="E2195" s="1100">
        <v>1.0124990559519376</v>
      </c>
      <c r="F2195" s="1100">
        <v>1.0091969051531453</v>
      </c>
      <c r="G2195" s="1100">
        <v>1.0115609653717685</v>
      </c>
      <c r="H2195" s="1100">
        <v>0.96804566745026865</v>
      </c>
      <c r="I2195" s="1100">
        <v>0.99364527198753427</v>
      </c>
      <c r="K2195">
        <v>1.3208446240871119</v>
      </c>
      <c r="L2195">
        <v>0</v>
      </c>
      <c r="M2195">
        <v>5.6219348967042281E-4</v>
      </c>
      <c r="N2195">
        <v>5.367915840100352E-2</v>
      </c>
      <c r="O2195">
        <v>7.7004062473136209E-3</v>
      </c>
      <c r="P2195">
        <v>1.6496787836533886E-2</v>
      </c>
      <c r="Q2195">
        <v>4.5145207813194522E-4</v>
      </c>
      <c r="R2195">
        <v>5.6047979366329276E-4</v>
      </c>
      <c r="S2195">
        <v>5.8905289226638652E-2</v>
      </c>
      <c r="T2195">
        <v>1.0415003760217902</v>
      </c>
      <c r="U2195">
        <v>0</v>
      </c>
      <c r="V2195">
        <v>9.788235213302432E-2</v>
      </c>
      <c r="W2195">
        <v>3.500384202085851E-2</v>
      </c>
      <c r="X2195">
        <v>7.7012325815859423E-3</v>
      </c>
      <c r="Y2195">
        <v>1.5254412362371574E-3</v>
      </c>
    </row>
    <row r="2196" spans="1:25" x14ac:dyDescent="0.25">
      <c r="A2196" s="1096"/>
      <c r="B2196" s="1455">
        <v>1946</v>
      </c>
      <c r="C2196" s="1100">
        <v>0.99964946802035004</v>
      </c>
      <c r="D2196" s="1100">
        <v>1.0013986254423497</v>
      </c>
      <c r="E2196" s="1100">
        <v>1.0253267154850501</v>
      </c>
      <c r="F2196" s="1100">
        <v>1.0083341106438184</v>
      </c>
      <c r="G2196" s="1100">
        <v>1.0314132913169147</v>
      </c>
      <c r="H2196" s="1100">
        <v>0.98441512232977579</v>
      </c>
      <c r="I2196" s="1100">
        <v>0.99956749349269947</v>
      </c>
      <c r="K2196">
        <v>1.3256745902647167</v>
      </c>
      <c r="L2196">
        <v>0</v>
      </c>
      <c r="M2196">
        <v>5.6119922498826615E-4</v>
      </c>
      <c r="N2196">
        <v>5.5701490652218751E-2</v>
      </c>
      <c r="O2196">
        <v>7.7665557423536721E-3</v>
      </c>
      <c r="P2196">
        <v>1.6670700933273462E-2</v>
      </c>
      <c r="Q2196">
        <v>4.6117756641891818E-4</v>
      </c>
      <c r="R2196">
        <v>5.5951700571519225E-4</v>
      </c>
      <c r="S2196">
        <v>6.0069051596923675E-2</v>
      </c>
      <c r="T2196">
        <v>1.0402322333109091</v>
      </c>
      <c r="U2196">
        <v>0</v>
      </c>
      <c r="V2196">
        <v>9.9276329233810717E-2</v>
      </c>
      <c r="W2196">
        <v>3.6050783658768334E-2</v>
      </c>
      <c r="X2196">
        <v>7.9251289444856494E-3</v>
      </c>
      <c r="Y2196">
        <v>1.52282084482539E-3</v>
      </c>
    </row>
    <row r="2197" spans="1:25" x14ac:dyDescent="0.25">
      <c r="A2197" s="1096"/>
      <c r="B2197" s="1455">
        <v>1947</v>
      </c>
      <c r="C2197" s="1100">
        <v>1.0017504634087375</v>
      </c>
      <c r="D2197" s="1100">
        <v>0.98062507293311463</v>
      </c>
      <c r="E2197" s="1100">
        <v>0.98480967038755596</v>
      </c>
      <c r="F2197" s="1100">
        <v>1.0096933528670913</v>
      </c>
      <c r="G2197" s="1100">
        <v>0.96687007816309667</v>
      </c>
      <c r="H2197" s="1100">
        <v>0.9805321245797457</v>
      </c>
      <c r="I2197" s="1100">
        <v>0.98266936684372841</v>
      </c>
      <c r="K2197">
        <v>1.3210964875104427</v>
      </c>
      <c r="L2197">
        <v>0</v>
      </c>
      <c r="M2197">
        <v>6.1186935255773964E-4</v>
      </c>
      <c r="N2197">
        <v>5.3735429923180165E-2</v>
      </c>
      <c r="O2197">
        <v>7.8055125004593369E-3</v>
      </c>
      <c r="P2197">
        <v>1.6159821193144248E-2</v>
      </c>
      <c r="Q2197">
        <v>4.4504367130193169E-4</v>
      </c>
      <c r="R2197">
        <v>6.1002798413056444E-4</v>
      </c>
      <c r="S2197">
        <v>5.9441531647146752E-2</v>
      </c>
      <c r="T2197">
        <v>1.0428460097402819</v>
      </c>
      <c r="U2197">
        <v>0</v>
      </c>
      <c r="V2197">
        <v>9.6056540389392972E-2</v>
      </c>
      <c r="W2197">
        <v>3.5622609445205247E-2</v>
      </c>
      <c r="X2197">
        <v>7.3255352916237826E-3</v>
      </c>
      <c r="Y2197">
        <v>1.6602950771324736E-3</v>
      </c>
    </row>
    <row r="2198" spans="1:25" x14ac:dyDescent="0.25">
      <c r="A2198" s="1096"/>
      <c r="B2198" s="1455">
        <v>1948</v>
      </c>
      <c r="C2198" s="1100">
        <v>0.98100551389630086</v>
      </c>
      <c r="D2198" s="1100">
        <v>0.98676978511851277</v>
      </c>
      <c r="E2198" s="1100">
        <v>0.99812572698831048</v>
      </c>
      <c r="F2198" s="1100">
        <v>0.99515901278115426</v>
      </c>
      <c r="G2198" s="1100">
        <v>1.0184076696168647</v>
      </c>
      <c r="H2198" s="1100">
        <v>1.0305023822235573</v>
      </c>
      <c r="I2198" s="1100">
        <v>0.98424057206388249</v>
      </c>
      <c r="K2198">
        <v>1.31911505917118</v>
      </c>
      <c r="L2198">
        <v>0</v>
      </c>
      <c r="M2198">
        <v>6.3718996314458657E-4</v>
      </c>
      <c r="N2198">
        <v>5.8266299225684264E-2</v>
      </c>
      <c r="O2198">
        <v>7.9540273828726301E-3</v>
      </c>
      <c r="P2198">
        <v>1.6190667743538074E-2</v>
      </c>
      <c r="Q2198">
        <v>4.5965172784857128E-4</v>
      </c>
      <c r="R2198">
        <v>6.3536537963867243E-4</v>
      </c>
      <c r="S2198">
        <v>6.2143545616798412E-2</v>
      </c>
      <c r="T2198">
        <v>1.0274366345294081</v>
      </c>
      <c r="U2198">
        <v>0</v>
      </c>
      <c r="V2198">
        <v>9.9087538098206029E-2</v>
      </c>
      <c r="W2198">
        <v>3.8319692303799099E-2</v>
      </c>
      <c r="X2198">
        <v>7.5295720112948852E-3</v>
      </c>
      <c r="Y2198">
        <v>1.7292551152353587E-3</v>
      </c>
    </row>
    <row r="2199" spans="1:25" x14ac:dyDescent="0.25">
      <c r="A2199" s="1096"/>
      <c r="B2199" s="1455">
        <v>1949</v>
      </c>
      <c r="C2199" s="1100">
        <v>1.0309496109675291</v>
      </c>
      <c r="D2199" s="1100">
        <v>0.9801811744580391</v>
      </c>
      <c r="E2199" s="1100">
        <v>1.0242635112134222</v>
      </c>
      <c r="F2199" s="1100">
        <v>0.98807115408052493</v>
      </c>
      <c r="G2199" s="1100">
        <v>0.98977474241495156</v>
      </c>
      <c r="H2199" s="1100">
        <v>0.9634879300796716</v>
      </c>
      <c r="I2199" s="1100">
        <v>0.9833483003913166</v>
      </c>
      <c r="K2199">
        <v>1.2944863429239712</v>
      </c>
      <c r="L2199">
        <v>0</v>
      </c>
      <c r="M2199">
        <v>5.3836527989630824E-4</v>
      </c>
      <c r="N2199">
        <v>5.3260586647421809E-2</v>
      </c>
      <c r="O2199">
        <v>7.5952901821407393E-3</v>
      </c>
      <c r="P2199">
        <v>1.6291667813778332E-2</v>
      </c>
      <c r="Q2199">
        <v>4.505326295931444E-4</v>
      </c>
      <c r="R2199">
        <v>5.3671645482089721E-4</v>
      </c>
      <c r="S2199">
        <v>5.7348198729932749E-2</v>
      </c>
      <c r="T2199">
        <v>1.0193587643600639</v>
      </c>
      <c r="U2199">
        <v>0</v>
      </c>
      <c r="V2199">
        <v>9.6507469904976009E-2</v>
      </c>
      <c r="W2199">
        <v>3.449236444964434E-2</v>
      </c>
      <c r="X2199">
        <v>7.7223517700053378E-3</v>
      </c>
      <c r="Y2199">
        <v>1.460765261490701E-3</v>
      </c>
    </row>
    <row r="2200" spans="1:25" x14ac:dyDescent="0.25">
      <c r="A2200" s="1096"/>
      <c r="B2200" s="1455">
        <v>1950</v>
      </c>
      <c r="C2200" s="1100">
        <v>1.0100062409647552</v>
      </c>
      <c r="D2200" s="1100">
        <v>0.98030409636516347</v>
      </c>
      <c r="E2200" s="1100">
        <v>1.0181310334999552</v>
      </c>
      <c r="F2200" s="1100">
        <v>1.0088857501394701</v>
      </c>
      <c r="G2200" s="1100">
        <v>0.99941070763735318</v>
      </c>
      <c r="H2200" s="1100">
        <v>1.002517038290877</v>
      </c>
      <c r="I2200" s="1100">
        <v>1.0263339593635279</v>
      </c>
      <c r="K2200">
        <v>1.3277966284549296</v>
      </c>
      <c r="L2200">
        <v>0</v>
      </c>
      <c r="M2200">
        <v>5.7910398751243302E-4</v>
      </c>
      <c r="N2200">
        <v>5.6247535265782064E-2</v>
      </c>
      <c r="O2200">
        <v>7.750889134221505E-3</v>
      </c>
      <c r="P2200">
        <v>1.6599850163134876E-2</v>
      </c>
      <c r="Q2200">
        <v>4.5696973863462948E-4</v>
      </c>
      <c r="R2200">
        <v>5.7739944196219116E-4</v>
      </c>
      <c r="S2200">
        <v>6.2307108322488369E-2</v>
      </c>
      <c r="T2200">
        <v>1.0410127222635768</v>
      </c>
      <c r="U2200">
        <v>0</v>
      </c>
      <c r="V2200">
        <v>9.7465491292066705E-2</v>
      </c>
      <c r="W2200">
        <v>3.6557562037271625E-2</v>
      </c>
      <c r="X2200">
        <v>7.8287138419573174E-3</v>
      </c>
      <c r="Y2200">
        <v>1.5714909413461963E-3</v>
      </c>
    </row>
    <row r="2201" spans="1:25" x14ac:dyDescent="0.25">
      <c r="A2201" s="1096"/>
      <c r="B2201" s="1455">
        <v>1951</v>
      </c>
      <c r="C2201" s="1100">
        <v>1.0284289663234774</v>
      </c>
      <c r="D2201" s="1100">
        <v>0.99831704504446495</v>
      </c>
      <c r="E2201" s="1100">
        <v>1.019397314784031</v>
      </c>
      <c r="F2201" s="1100">
        <v>1.0082530717667375</v>
      </c>
      <c r="G2201" s="1100">
        <v>1.0003255577684189</v>
      </c>
      <c r="H2201" s="1100">
        <v>1.0328850312248765</v>
      </c>
      <c r="I2201" s="1100">
        <v>0.99193132162532804</v>
      </c>
      <c r="K2201">
        <v>1.3240998857082333</v>
      </c>
      <c r="L2201">
        <v>0</v>
      </c>
      <c r="M2201">
        <v>5.8017557563294197E-4</v>
      </c>
      <c r="N2201">
        <v>5.6572226773658189E-2</v>
      </c>
      <c r="O2201">
        <v>7.5571083003859391E-3</v>
      </c>
      <c r="P2201">
        <v>1.6560881492619528E-2</v>
      </c>
      <c r="Q2201">
        <v>4.4610660461998243E-4</v>
      </c>
      <c r="R2201">
        <v>5.7851808426016339E-4</v>
      </c>
      <c r="S2201">
        <v>5.9461436955610292E-2</v>
      </c>
      <c r="T2201">
        <v>1.0403226066505669</v>
      </c>
      <c r="U2201">
        <v>0</v>
      </c>
      <c r="V2201">
        <v>9.7071486055882797E-2</v>
      </c>
      <c r="W2201">
        <v>3.674133617335102E-2</v>
      </c>
      <c r="X2201">
        <v>7.7938186759896957E-3</v>
      </c>
      <c r="Y2201">
        <v>1.5745355169209429E-3</v>
      </c>
    </row>
    <row r="2202" spans="1:25" x14ac:dyDescent="0.25">
      <c r="A2202" s="1096"/>
      <c r="B2202" s="1455">
        <v>1952</v>
      </c>
      <c r="C2202" s="1100">
        <v>0.99335320032886298</v>
      </c>
      <c r="D2202" s="1100">
        <v>0.99844774491916599</v>
      </c>
      <c r="E2202" s="1100">
        <v>0.97733072053915926</v>
      </c>
      <c r="F2202" s="1100">
        <v>0.99349509550977033</v>
      </c>
      <c r="G2202" s="1100">
        <v>0.99650669826531424</v>
      </c>
      <c r="H2202" s="1100">
        <v>0.99951407151207516</v>
      </c>
      <c r="I2202" s="1100">
        <v>0.98808004100156077</v>
      </c>
      <c r="K2202">
        <v>1.3080210134758152</v>
      </c>
      <c r="L2202">
        <v>0</v>
      </c>
      <c r="M2202">
        <v>6.3420571745577154E-4</v>
      </c>
      <c r="N2202">
        <v>5.4454064693270292E-2</v>
      </c>
      <c r="O2202">
        <v>7.8131447567624211E-3</v>
      </c>
      <c r="P2202">
        <v>1.5880001036023231E-2</v>
      </c>
      <c r="Q2202">
        <v>4.4210732454992005E-4</v>
      </c>
      <c r="R2202">
        <v>6.323333759764647E-4</v>
      </c>
      <c r="S2202">
        <v>6.0262333201769366E-2</v>
      </c>
      <c r="T2202">
        <v>1.0263412589185417</v>
      </c>
      <c r="U2202">
        <v>0</v>
      </c>
      <c r="V2202">
        <v>9.7690915362721772E-2</v>
      </c>
      <c r="W2202">
        <v>3.6262263034688491E-2</v>
      </c>
      <c r="X2202">
        <v>7.1557944882019685E-3</v>
      </c>
      <c r="Y2202">
        <v>1.7210030007665683E-3</v>
      </c>
    </row>
    <row r="2203" spans="1:25" x14ac:dyDescent="0.25">
      <c r="A2203" s="1096"/>
      <c r="B2203" s="1455">
        <v>1953</v>
      </c>
      <c r="C2203" s="1100">
        <v>1.0154432166116369</v>
      </c>
      <c r="D2203" s="1100">
        <v>0.98926946446564779</v>
      </c>
      <c r="E2203" s="1100">
        <v>0.9943474274802595</v>
      </c>
      <c r="F2203" s="1100">
        <v>0.9929631160669663</v>
      </c>
      <c r="G2203" s="1100">
        <v>1.0152323789641762</v>
      </c>
      <c r="H2203" s="1100">
        <v>1.0263935329122864</v>
      </c>
      <c r="I2203" s="1100">
        <v>0.97180992652746989</v>
      </c>
      <c r="K2203">
        <v>1.3082478904989461</v>
      </c>
      <c r="L2203">
        <v>0</v>
      </c>
      <c r="M2203">
        <v>6.1732214917791471E-4</v>
      </c>
      <c r="N2203">
        <v>5.5808006369074577E-2</v>
      </c>
      <c r="O2203">
        <v>7.6755854956648767E-3</v>
      </c>
      <c r="P2203">
        <v>1.6060163493726274E-2</v>
      </c>
      <c r="Q2203">
        <v>4.418760816398783E-4</v>
      </c>
      <c r="R2203">
        <v>6.1554738043698111E-4</v>
      </c>
      <c r="S2203">
        <v>5.9073464876550685E-2</v>
      </c>
      <c r="T2203">
        <v>1.0252816057236596</v>
      </c>
      <c r="U2203">
        <v>0</v>
      </c>
      <c r="V2203">
        <v>9.8072990395572032E-2</v>
      </c>
      <c r="W2203">
        <v>3.678571893341364E-2</v>
      </c>
      <c r="X2203">
        <v>7.3749368439761992E-3</v>
      </c>
      <c r="Y2203">
        <v>1.6753170544100357E-3</v>
      </c>
    </row>
    <row r="2204" spans="1:25" x14ac:dyDescent="0.25">
      <c r="A2204" s="1096"/>
      <c r="B2204" s="1455">
        <v>1954</v>
      </c>
      <c r="C2204" s="1100">
        <v>0.99690346117072326</v>
      </c>
      <c r="D2204" s="1100">
        <v>1.0018213234796118</v>
      </c>
      <c r="E2204" s="1100">
        <v>1.0092461602903029</v>
      </c>
      <c r="F2204" s="1100">
        <v>1.0192403722119656</v>
      </c>
      <c r="G2204" s="1100">
        <v>1.0323076283351209</v>
      </c>
      <c r="H2204" s="1100">
        <v>0.99370948277338134</v>
      </c>
      <c r="I2204" s="1100">
        <v>1.0022265570368931</v>
      </c>
      <c r="K2204">
        <v>1.3380210003415656</v>
      </c>
      <c r="L2204">
        <v>0</v>
      </c>
      <c r="M2204">
        <v>5.8727873406543972E-4</v>
      </c>
      <c r="N2204">
        <v>5.5530776242416216E-2</v>
      </c>
      <c r="O2204">
        <v>7.7826672275111966E-3</v>
      </c>
      <c r="P2204">
        <v>1.6645285266473374E-2</v>
      </c>
      <c r="Q2204">
        <v>4.5479423966868573E-4</v>
      </c>
      <c r="R2204">
        <v>5.8553480563019338E-4</v>
      </c>
      <c r="S2204">
        <v>6.0650518711970546E-2</v>
      </c>
      <c r="T2204">
        <v>1.0519629385404525</v>
      </c>
      <c r="U2204">
        <v>0</v>
      </c>
      <c r="V2204">
        <v>9.936966195119129E-2</v>
      </c>
      <c r="W2204">
        <v>3.628074806714273E-2</v>
      </c>
      <c r="X2204">
        <v>7.7517213037454624E-3</v>
      </c>
      <c r="Y2204">
        <v>1.5936327194285866E-3</v>
      </c>
    </row>
    <row r="2205" spans="1:25" x14ac:dyDescent="0.25">
      <c r="A2205" s="1096"/>
      <c r="B2205" s="1455">
        <v>1955</v>
      </c>
      <c r="C2205" s="1100">
        <v>0.9950703727580219</v>
      </c>
      <c r="D2205" s="1100">
        <v>1.0421405283695955</v>
      </c>
      <c r="E2205" s="1100">
        <v>1.019258012328</v>
      </c>
      <c r="F2205" s="1100">
        <v>0.98085634721284143</v>
      </c>
      <c r="G2205" s="1100">
        <v>0.9959222431133119</v>
      </c>
      <c r="H2205" s="1100">
        <v>0.99304230520411019</v>
      </c>
      <c r="I2205" s="1100">
        <v>1.002146915770014</v>
      </c>
      <c r="K2205">
        <v>1.2938350382606905</v>
      </c>
      <c r="L2205">
        <v>0</v>
      </c>
      <c r="M2205">
        <v>5.6683734777398696E-4</v>
      </c>
      <c r="N2205">
        <v>5.524205730569734E-2</v>
      </c>
      <c r="O2205">
        <v>7.6773459897732646E-3</v>
      </c>
      <c r="P2205">
        <v>1.61765899472768E-2</v>
      </c>
      <c r="Q2205">
        <v>4.5314162084628178E-4</v>
      </c>
      <c r="R2205">
        <v>5.6515298930271058E-4</v>
      </c>
      <c r="S2205">
        <v>5.9475042369933978E-2</v>
      </c>
      <c r="T2205">
        <v>1.012058462193099</v>
      </c>
      <c r="U2205">
        <v>0</v>
      </c>
      <c r="V2205">
        <v>9.7666387816987402E-2</v>
      </c>
      <c r="W2205">
        <v>3.5880371427125052E-2</v>
      </c>
      <c r="X2205">
        <v>7.6691638141719023E-3</v>
      </c>
      <c r="Y2205">
        <v>1.5381601342491246E-3</v>
      </c>
    </row>
    <row r="2206" spans="1:25" x14ac:dyDescent="0.25">
      <c r="A2206" s="1096"/>
      <c r="B2206" s="1455">
        <v>1956</v>
      </c>
      <c r="C2206" s="1100">
        <v>0.96032722698571382</v>
      </c>
      <c r="D2206" s="1100">
        <v>1.017769819437836</v>
      </c>
      <c r="E2206" s="1100">
        <v>1.0150321834762166</v>
      </c>
      <c r="F2206" s="1100">
        <v>0.96391521668928326</v>
      </c>
      <c r="G2206" s="1100">
        <v>1.0156153436790445</v>
      </c>
      <c r="H2206" s="1100">
        <v>1.0333147084492891</v>
      </c>
      <c r="I2206" s="1100">
        <v>0.98192075913314425</v>
      </c>
      <c r="K2206">
        <v>1.2893127650608911</v>
      </c>
      <c r="L2206">
        <v>0</v>
      </c>
      <c r="M2206">
        <v>6.2242274785184997E-4</v>
      </c>
      <c r="N2206">
        <v>5.9897619407256235E-2</v>
      </c>
      <c r="O2206">
        <v>8.0296791493640728E-3</v>
      </c>
      <c r="P2206">
        <v>1.5952863298432308E-2</v>
      </c>
      <c r="Q2206">
        <v>4.7194746182032608E-4</v>
      </c>
      <c r="R2206">
        <v>6.2064530083615196E-4</v>
      </c>
      <c r="S2206">
        <v>6.2398313302145104E-2</v>
      </c>
      <c r="T2206">
        <v>0.99469758353199556</v>
      </c>
      <c r="U2206">
        <v>0</v>
      </c>
      <c r="V2206">
        <v>9.9515690352121253E-2</v>
      </c>
      <c r="W2206">
        <v>3.9000734252268174E-2</v>
      </c>
      <c r="X2206">
        <v>7.6609198392938319E-3</v>
      </c>
      <c r="Y2206">
        <v>1.6891919132075715E-3</v>
      </c>
    </row>
    <row r="2207" spans="1:25" x14ac:dyDescent="0.25">
      <c r="A2207" s="1096"/>
      <c r="B2207" s="1455">
        <v>1957</v>
      </c>
      <c r="C2207" s="1100">
        <v>0.99521701224347003</v>
      </c>
      <c r="D2207" s="1100">
        <v>1.0394647390581262</v>
      </c>
      <c r="E2207" s="1100">
        <v>1.0063732423074498</v>
      </c>
      <c r="F2207" s="1100">
        <v>1.0187335769474837</v>
      </c>
      <c r="G2207" s="1100">
        <v>1.0134701823171168</v>
      </c>
      <c r="H2207" s="1100">
        <v>1.0394162163920435</v>
      </c>
      <c r="I2207" s="1100">
        <v>0.96223277502717952</v>
      </c>
      <c r="K2207">
        <v>1.3371755911969021</v>
      </c>
      <c r="L2207">
        <v>0</v>
      </c>
      <c r="M2207">
        <v>6.0994835272661205E-4</v>
      </c>
      <c r="N2207">
        <v>5.7183669504365015E-2</v>
      </c>
      <c r="O2207">
        <v>7.6809772846904364E-3</v>
      </c>
      <c r="P2207">
        <v>1.6562637647474156E-2</v>
      </c>
      <c r="Q2207">
        <v>4.4756304895884576E-4</v>
      </c>
      <c r="R2207">
        <v>6.0821675346101631E-4</v>
      </c>
      <c r="S2207">
        <v>5.8512812737458432E-2</v>
      </c>
      <c r="T2207">
        <v>1.0515263070229519</v>
      </c>
      <c r="U2207">
        <v>0</v>
      </c>
      <c r="V2207">
        <v>9.849720793344835E-2</v>
      </c>
      <c r="W2207">
        <v>3.742411295441745E-2</v>
      </c>
      <c r="X2207">
        <v>7.6866691580810146E-3</v>
      </c>
      <c r="Y2207">
        <v>1.6553655043219928E-3</v>
      </c>
    </row>
    <row r="2208" spans="1:25" x14ac:dyDescent="0.25">
      <c r="A2208" s="1096"/>
      <c r="B2208" s="1455">
        <v>1958</v>
      </c>
      <c r="C2208" s="1100">
        <v>1.0249253105931342</v>
      </c>
      <c r="D2208" s="1100">
        <v>1.0367427012997048</v>
      </c>
      <c r="E2208" s="1100">
        <v>1.0055655473667375</v>
      </c>
      <c r="F2208" s="1100">
        <v>1.0046045180124743</v>
      </c>
      <c r="G2208" s="1100">
        <v>1.0075948928097482</v>
      </c>
      <c r="H2208" s="1100">
        <v>1.0340126794974023</v>
      </c>
      <c r="I2208" s="1100">
        <v>1.0058375289489561</v>
      </c>
      <c r="K2208">
        <v>1.3186013408327988</v>
      </c>
      <c r="L2208">
        <v>0</v>
      </c>
      <c r="M2208">
        <v>5.9079772381136631E-4</v>
      </c>
      <c r="N2208">
        <v>5.5252508523792793E-2</v>
      </c>
      <c r="O2208">
        <v>7.4659738101949501E-3</v>
      </c>
      <c r="P2208">
        <v>1.6350489604047454E-2</v>
      </c>
      <c r="Q2208">
        <v>4.3468311737286766E-4</v>
      </c>
      <c r="R2208">
        <v>5.8911172692798885E-4</v>
      </c>
      <c r="S2208">
        <v>5.9314099581790299E-2</v>
      </c>
      <c r="T2208">
        <v>1.0369664455021257</v>
      </c>
      <c r="U2208">
        <v>0</v>
      </c>
      <c r="V2208">
        <v>9.7490191207780935E-2</v>
      </c>
      <c r="W2208">
        <v>3.6177537134948874E-2</v>
      </c>
      <c r="X2208">
        <v>7.5477304275564346E-3</v>
      </c>
      <c r="Y2208">
        <v>1.6033679200693968E-3</v>
      </c>
    </row>
    <row r="2209" spans="1:25" x14ac:dyDescent="0.25">
      <c r="A2209" s="1096"/>
      <c r="B2209" s="1455">
        <v>1959</v>
      </c>
      <c r="C2209" s="1100">
        <v>1.0148131755746199</v>
      </c>
      <c r="D2209" s="1100">
        <v>1.0282445118731898</v>
      </c>
      <c r="E2209" s="1100">
        <v>1.0158592762931571</v>
      </c>
      <c r="F2209" s="1100">
        <v>0.97074324928946798</v>
      </c>
      <c r="G2209" s="1100">
        <v>1.0250460369797973</v>
      </c>
      <c r="H2209" s="1100">
        <v>0.98940363818952859</v>
      </c>
      <c r="I2209" s="1100">
        <v>1.0121437536530655</v>
      </c>
      <c r="K2209">
        <v>1.2818820241392617</v>
      </c>
      <c r="L2209">
        <v>0</v>
      </c>
      <c r="M2209">
        <v>5.6070431362552776E-4</v>
      </c>
      <c r="N2209">
        <v>5.4086240587955456E-2</v>
      </c>
      <c r="O2209">
        <v>7.5677013621251515E-3</v>
      </c>
      <c r="P2209">
        <v>1.6002667088110052E-2</v>
      </c>
      <c r="Q2209">
        <v>4.4516134249196818E-4</v>
      </c>
      <c r="R2209">
        <v>5.5903205204331876E-4</v>
      </c>
      <c r="S2209">
        <v>5.9212023177756735E-2</v>
      </c>
      <c r="T2209">
        <v>1.0017201379039227</v>
      </c>
      <c r="U2209">
        <v>0</v>
      </c>
      <c r="V2209">
        <v>9.8586979276426706E-2</v>
      </c>
      <c r="W2209">
        <v>3.5199712045368987E-2</v>
      </c>
      <c r="X2209">
        <v>7.5415726558905839E-3</v>
      </c>
      <c r="Y2209">
        <v>1.5215009607954851E-3</v>
      </c>
    </row>
    <row r="2210" spans="1:25" x14ac:dyDescent="0.25">
      <c r="A2210" s="1096"/>
      <c r="B2210" s="1455">
        <v>1960</v>
      </c>
      <c r="C2210" s="1100">
        <v>0.99453264342263081</v>
      </c>
      <c r="D2210" s="1100">
        <v>0.99623398657543871</v>
      </c>
      <c r="E2210" s="1100">
        <v>1.007564328243193</v>
      </c>
      <c r="F2210" s="1100">
        <v>1.0175579549375053</v>
      </c>
      <c r="G2210" s="1100">
        <v>0.98162844788314041</v>
      </c>
      <c r="H2210" s="1100">
        <v>0.96926034362746027</v>
      </c>
      <c r="I2210" s="1100">
        <v>1.0320596913886659</v>
      </c>
      <c r="K2210">
        <v>1.333258907262789</v>
      </c>
      <c r="L2210">
        <v>0</v>
      </c>
      <c r="M2210">
        <v>5.7749466186345088E-4</v>
      </c>
      <c r="N2210">
        <v>5.4324964264481031E-2</v>
      </c>
      <c r="O2210">
        <v>7.8182754297639965E-3</v>
      </c>
      <c r="P2210">
        <v>1.6587317333509335E-2</v>
      </c>
      <c r="Q2210">
        <v>4.5610692966634468E-4</v>
      </c>
      <c r="R2210">
        <v>5.7573653039183492E-4</v>
      </c>
      <c r="S2210">
        <v>6.2015316791597143E-2</v>
      </c>
      <c r="T2210">
        <v>1.0502770182478478</v>
      </c>
      <c r="U2210">
        <v>0</v>
      </c>
      <c r="V2210">
        <v>9.697520516353976E-2</v>
      </c>
      <c r="W2210">
        <v>3.5528198391490018E-2</v>
      </c>
      <c r="X2210">
        <v>7.7112977981333673E-3</v>
      </c>
      <c r="Y2210">
        <v>1.5669650442303384E-3</v>
      </c>
    </row>
    <row r="2211" spans="1:25" x14ac:dyDescent="0.25">
      <c r="A2211" s="1096"/>
      <c r="B2211" s="1455">
        <v>1961</v>
      </c>
      <c r="C2211" s="1100">
        <v>1.0369226931160738</v>
      </c>
      <c r="D2211" s="1100">
        <v>1.0200783334730885</v>
      </c>
      <c r="E2211" s="1100">
        <v>1.0272658509504826</v>
      </c>
      <c r="F2211" s="1100">
        <v>1.0207343549483454</v>
      </c>
      <c r="G2211" s="1100">
        <v>0.98837017448204911</v>
      </c>
      <c r="H2211" s="1100">
        <v>0.96127815056099575</v>
      </c>
      <c r="I2211" s="1100">
        <v>0.98044803972803451</v>
      </c>
      <c r="K2211">
        <v>1.3246316100941087</v>
      </c>
      <c r="L2211">
        <v>0</v>
      </c>
      <c r="M2211">
        <v>5.2230562746563645E-4</v>
      </c>
      <c r="N2211">
        <v>5.2141372748312362E-2</v>
      </c>
      <c r="O2211">
        <v>7.4326884321399096E-3</v>
      </c>
      <c r="P2211">
        <v>1.676761337060672E-2</v>
      </c>
      <c r="Q2211">
        <v>4.4220125216804619E-4</v>
      </c>
      <c r="R2211">
        <v>5.2070231026295568E-4</v>
      </c>
      <c r="S2211">
        <v>5.5579805706165115E-2</v>
      </c>
      <c r="T2211">
        <v>1.0529673822424923</v>
      </c>
      <c r="U2211">
        <v>0</v>
      </c>
      <c r="V2211">
        <v>9.6304312683668722E-2</v>
      </c>
      <c r="W2211">
        <v>3.3708550555316991E-2</v>
      </c>
      <c r="X2211">
        <v>7.872106381376108E-3</v>
      </c>
      <c r="Y2211">
        <v>1.4171800390653183E-3</v>
      </c>
    </row>
    <row r="2212" spans="1:25" x14ac:dyDescent="0.25">
      <c r="A2212" s="1096"/>
      <c r="B2212" s="1455">
        <v>1962</v>
      </c>
      <c r="C2212" s="1100">
        <v>1.0181571641932852</v>
      </c>
      <c r="D2212" s="1100">
        <v>0.9795186479174558</v>
      </c>
      <c r="E2212" s="1100">
        <v>0.97204550330786343</v>
      </c>
      <c r="F2212" s="1100">
        <v>0.99506265615781053</v>
      </c>
      <c r="G2212" s="1100">
        <v>0.98556127967877893</v>
      </c>
      <c r="H2212" s="1100">
        <v>0.99296970895412762</v>
      </c>
      <c r="I2212" s="1100">
        <v>1.0128161780672964</v>
      </c>
      <c r="K2212">
        <v>1.3063127774314296</v>
      </c>
      <c r="L2212">
        <v>0</v>
      </c>
      <c r="M2212">
        <v>6.262293215743075E-4</v>
      </c>
      <c r="N2212">
        <v>5.2914833955294248E-2</v>
      </c>
      <c r="O2212">
        <v>7.6801100928397164E-3</v>
      </c>
      <c r="P2212">
        <v>1.5830180390457183E-2</v>
      </c>
      <c r="Q2212">
        <v>4.322444181373285E-4</v>
      </c>
      <c r="R2212">
        <v>6.2436834367088432E-4</v>
      </c>
      <c r="S2212">
        <v>6.0682901749718875E-2</v>
      </c>
      <c r="T2212">
        <v>1.0281211642804526</v>
      </c>
      <c r="U2212">
        <v>0</v>
      </c>
      <c r="V2212">
        <v>9.6548144043855755E-2</v>
      </c>
      <c r="W2212">
        <v>3.5350362449018465E-2</v>
      </c>
      <c r="X2212">
        <v>7.0553722210540378E-3</v>
      </c>
      <c r="Y2212">
        <v>1.6993248085029721E-3</v>
      </c>
    </row>
    <row r="2213" spans="1:25" x14ac:dyDescent="0.25">
      <c r="A2213" s="1096"/>
      <c r="B2213" s="1455">
        <v>1963</v>
      </c>
      <c r="C2213" s="1100">
        <v>1.0034271631106413</v>
      </c>
      <c r="D2213" s="1100">
        <v>1.0121165096278673</v>
      </c>
      <c r="E2213" s="1100">
        <v>0.96846976291579001</v>
      </c>
      <c r="F2213" s="1100">
        <v>1.0196762641397876</v>
      </c>
      <c r="G2213" s="1100">
        <v>0.9916404847942677</v>
      </c>
      <c r="H2213" s="1100">
        <v>1.006467504053109</v>
      </c>
      <c r="I2213" s="1100">
        <v>0.99884004568317697</v>
      </c>
      <c r="K2213">
        <v>1.3334114146372895</v>
      </c>
      <c r="L2213">
        <v>0</v>
      </c>
      <c r="M2213">
        <v>6.4039080990048903E-4</v>
      </c>
      <c r="N2213">
        <v>5.353089429077669E-2</v>
      </c>
      <c r="O2213">
        <v>7.6906026501119525E-3</v>
      </c>
      <c r="P2213">
        <v>1.6127483174059151E-2</v>
      </c>
      <c r="Q2213">
        <v>4.3125618955682329E-4</v>
      </c>
      <c r="R2213">
        <v>6.3851327010079552E-4</v>
      </c>
      <c r="S2213">
        <v>6.0070589880255681E-2</v>
      </c>
      <c r="T2213">
        <v>1.053664270236111</v>
      </c>
      <c r="U2213">
        <v>0</v>
      </c>
      <c r="V2213">
        <v>9.7195412839152506E-2</v>
      </c>
      <c r="W2213">
        <v>3.5839826660889113E-2</v>
      </c>
      <c r="X2213">
        <v>7.1251336208028402E-3</v>
      </c>
      <c r="Y2213">
        <v>1.7378226353714455E-3</v>
      </c>
    </row>
    <row r="2214" spans="1:25" x14ac:dyDescent="0.25">
      <c r="A2214" s="1096"/>
      <c r="B2214" s="1455">
        <v>1964</v>
      </c>
      <c r="C2214" s="1100">
        <v>0.990583973381716</v>
      </c>
      <c r="D2214" s="1100">
        <v>1.0103927712941032</v>
      </c>
      <c r="E2214" s="1100">
        <v>1.0076362057011783</v>
      </c>
      <c r="F2214" s="1100">
        <v>1.0155589149253312</v>
      </c>
      <c r="G2214" s="1100">
        <v>0.9607150538989625</v>
      </c>
      <c r="H2214" s="1100">
        <v>1.0108576225603141</v>
      </c>
      <c r="I2214" s="1100">
        <v>1.0075685463649462</v>
      </c>
      <c r="K2214">
        <v>1.3336002326994874</v>
      </c>
      <c r="L2214">
        <v>0</v>
      </c>
      <c r="M2214">
        <v>6.0118603955891113E-4</v>
      </c>
      <c r="N2214">
        <v>5.6572997531591111E-2</v>
      </c>
      <c r="O2214">
        <v>7.8052739173230133E-3</v>
      </c>
      <c r="P2214">
        <v>1.6541810939692789E-2</v>
      </c>
      <c r="Q2214">
        <v>4.5538120217698938E-4</v>
      </c>
      <c r="R2214">
        <v>5.994310977719278E-4</v>
      </c>
      <c r="S2214">
        <v>6.1611777108720157E-2</v>
      </c>
      <c r="T2214">
        <v>1.0482115438977166</v>
      </c>
      <c r="U2214">
        <v>0</v>
      </c>
      <c r="V2214">
        <v>9.6062854379752691E-2</v>
      </c>
      <c r="W2214">
        <v>3.6996827474513994E-2</v>
      </c>
      <c r="X2214">
        <v>7.7120673440608401E-3</v>
      </c>
      <c r="Y2214">
        <v>1.631453845726914E-3</v>
      </c>
    </row>
    <row r="2215" spans="1:25" x14ac:dyDescent="0.25">
      <c r="A2215" s="1096"/>
      <c r="B2215" s="1455">
        <v>1965</v>
      </c>
      <c r="C2215" s="1100">
        <v>1.0448067442219</v>
      </c>
      <c r="D2215" s="1100">
        <v>1.0146718298601709</v>
      </c>
      <c r="E2215" s="1100">
        <v>0.97740790301039782</v>
      </c>
      <c r="F2215" s="1100">
        <v>0.97235362906356604</v>
      </c>
      <c r="G2215" s="1100">
        <v>0.98730446169672648</v>
      </c>
      <c r="H2215" s="1100">
        <v>1.0063501822147802</v>
      </c>
      <c r="I2215" s="1100">
        <v>1.0192615059680601</v>
      </c>
      <c r="K2215">
        <v>1.2775293996161217</v>
      </c>
      <c r="L2215">
        <v>0</v>
      </c>
      <c r="M2215">
        <v>6.030991409422421E-4</v>
      </c>
      <c r="N2215">
        <v>5.1796335437427836E-2</v>
      </c>
      <c r="O2215">
        <v>7.3806489719764213E-3</v>
      </c>
      <c r="P2215">
        <v>1.5545939719233993E-2</v>
      </c>
      <c r="Q2215">
        <v>4.1766733324760251E-4</v>
      </c>
      <c r="R2215">
        <v>6.0133072916461645E-4</v>
      </c>
      <c r="S2215">
        <v>5.8796533166346816E-2</v>
      </c>
      <c r="T2215">
        <v>1.0044985451221828</v>
      </c>
      <c r="U2215">
        <v>0</v>
      </c>
      <c r="V2215">
        <v>9.6017689615665244E-2</v>
      </c>
      <c r="W2215">
        <v>3.4490806784909303E-2</v>
      </c>
      <c r="X2215">
        <v>6.9503778607452266E-3</v>
      </c>
      <c r="Y2215">
        <v>1.6366240161644916E-3</v>
      </c>
    </row>
    <row r="2216" spans="1:25" x14ac:dyDescent="0.25">
      <c r="A2216" s="1096"/>
      <c r="B2216" s="1455">
        <v>1966</v>
      </c>
      <c r="C2216" s="1100">
        <v>0.99834004572342183</v>
      </c>
      <c r="D2216" s="1100">
        <v>1.0045080077057957</v>
      </c>
      <c r="E2216" s="1100">
        <v>1.025274209019178</v>
      </c>
      <c r="F2216" s="1100">
        <v>1.0381808392379765</v>
      </c>
      <c r="G2216" s="1100">
        <v>1.0301245353690403</v>
      </c>
      <c r="H2216" s="1100">
        <v>0.99090874825953412</v>
      </c>
      <c r="I2216" s="1100">
        <v>0.98373435437173895</v>
      </c>
      <c r="K2216">
        <v>1.3568447562155554</v>
      </c>
      <c r="L2216">
        <v>0</v>
      </c>
      <c r="M2216">
        <v>5.6500281890092753E-4</v>
      </c>
      <c r="N2216">
        <v>5.6071240000395206E-2</v>
      </c>
      <c r="O2216">
        <v>7.7670915211465238E-3</v>
      </c>
      <c r="P2216">
        <v>1.7086719296659728E-2</v>
      </c>
      <c r="Q2216">
        <v>4.6118537697537992E-4</v>
      </c>
      <c r="R2216">
        <v>5.6332029682830051E-4</v>
      </c>
      <c r="S2216">
        <v>5.9291629730607871E-2</v>
      </c>
      <c r="T2216">
        <v>1.0710247291620443</v>
      </c>
      <c r="U2216">
        <v>0</v>
      </c>
      <c r="V2216">
        <v>9.9246442861633602E-2</v>
      </c>
      <c r="W2216">
        <v>3.6291200788221026E-2</v>
      </c>
      <c r="X2216">
        <v>8.0730278504628633E-3</v>
      </c>
      <c r="Y2216">
        <v>1.5331721494806919E-3</v>
      </c>
    </row>
    <row r="2217" spans="1:25" x14ac:dyDescent="0.25">
      <c r="A2217" s="1096"/>
      <c r="B2217" s="1455">
        <v>1967</v>
      </c>
      <c r="C2217" s="1100">
        <v>1.0025513649164313</v>
      </c>
      <c r="D2217" s="1100">
        <v>0.96184573362431536</v>
      </c>
      <c r="E2217" s="1100">
        <v>0.98583931534158564</v>
      </c>
      <c r="F2217" s="1100">
        <v>0.98230419562485694</v>
      </c>
      <c r="G2217" s="1100">
        <v>0.99640752805592303</v>
      </c>
      <c r="H2217" s="1100">
        <v>0.96928720808177171</v>
      </c>
      <c r="I2217" s="1100">
        <v>0.96877685977206163</v>
      </c>
      <c r="K2217">
        <v>1.2928137836436988</v>
      </c>
      <c r="L2217">
        <v>0</v>
      </c>
      <c r="M2217">
        <v>6.0776525631195486E-4</v>
      </c>
      <c r="N2217">
        <v>5.3539602218599436E-2</v>
      </c>
      <c r="O2217">
        <v>7.860089413678854E-3</v>
      </c>
      <c r="P2217">
        <v>1.5801050963769832E-2</v>
      </c>
      <c r="Q2217">
        <v>4.4862332577635104E-4</v>
      </c>
      <c r="R2217">
        <v>6.0591501997217772E-4</v>
      </c>
      <c r="S2217">
        <v>5.883135464611982E-2</v>
      </c>
      <c r="T2217">
        <v>1.0145269980781808</v>
      </c>
      <c r="U2217">
        <v>0</v>
      </c>
      <c r="V2217">
        <v>9.7466708496229446E-2</v>
      </c>
      <c r="W2217">
        <v>3.5470823160755283E-2</v>
      </c>
      <c r="X2217">
        <v>7.2212826323976541E-3</v>
      </c>
      <c r="Y2217">
        <v>1.6491009445316152E-3</v>
      </c>
    </row>
    <row r="2218" spans="1:25" x14ac:dyDescent="0.25">
      <c r="A2218" s="1096"/>
      <c r="B2218" s="1455">
        <v>1968</v>
      </c>
      <c r="C2218" s="1100">
        <v>0.96825949450462701</v>
      </c>
      <c r="D2218" s="1100">
        <v>0.96987648327632359</v>
      </c>
      <c r="E2218" s="1100">
        <v>0.97614362097768248</v>
      </c>
      <c r="F2218" s="1100">
        <v>0.96309168302632853</v>
      </c>
      <c r="G2218" s="1100">
        <v>1.0089306811158694</v>
      </c>
      <c r="H2218" s="1100">
        <v>1.0186066583271964</v>
      </c>
      <c r="I2218" s="1100">
        <v>1.0447102986568129</v>
      </c>
      <c r="K2218">
        <v>1.2898484069398433</v>
      </c>
      <c r="L2218">
        <v>0</v>
      </c>
      <c r="M2218">
        <v>6.7246353358167742E-4</v>
      </c>
      <c r="N2218">
        <v>5.7535081864091953E-2</v>
      </c>
      <c r="O2218">
        <v>8.1089591205583712E-3</v>
      </c>
      <c r="P2218">
        <v>1.5552777769170002E-2</v>
      </c>
      <c r="Q2218">
        <v>4.5829170115542435E-4</v>
      </c>
      <c r="R2218">
        <v>6.7051545690856632E-4</v>
      </c>
      <c r="S2218">
        <v>6.7029533380674466E-2</v>
      </c>
      <c r="T2218">
        <v>0.99496749756316183</v>
      </c>
      <c r="U2218">
        <v>0</v>
      </c>
      <c r="V2218">
        <v>9.8936871499252982E-2</v>
      </c>
      <c r="W2218">
        <v>3.8341530444649323E-2</v>
      </c>
      <c r="X2218">
        <v>7.0948896354579103E-3</v>
      </c>
      <c r="Y2218">
        <v>1.8249220383441517E-3</v>
      </c>
    </row>
    <row r="2219" spans="1:25" x14ac:dyDescent="0.25">
      <c r="A2219" s="1096"/>
      <c r="B2219" s="1455">
        <v>1969</v>
      </c>
      <c r="C2219" s="1100">
        <v>1.000519939304608</v>
      </c>
      <c r="D2219" s="1100">
        <v>0.95935284908456686</v>
      </c>
      <c r="E2219" s="1100">
        <v>0.97336119346858863</v>
      </c>
      <c r="F2219" s="1100">
        <v>1.0273071093522348</v>
      </c>
      <c r="G2219" s="1100">
        <v>0.98221364530942423</v>
      </c>
      <c r="H2219" s="1100">
        <v>1.0095552735479008</v>
      </c>
      <c r="I2219" s="1100">
        <v>1.0015657701276357</v>
      </c>
      <c r="K2219">
        <v>1.3463460608572417</v>
      </c>
      <c r="L2219">
        <v>0</v>
      </c>
      <c r="M2219">
        <v>6.5155362523889422E-4</v>
      </c>
      <c r="N2219">
        <v>5.5277100130849105E-2</v>
      </c>
      <c r="O2219">
        <v>7.8811258156962181E-3</v>
      </c>
      <c r="P2219">
        <v>1.6315723360717065E-2</v>
      </c>
      <c r="Q2219">
        <v>4.4415375744271529E-4</v>
      </c>
      <c r="R2219">
        <v>6.4964920020291856E-4</v>
      </c>
      <c r="S2219">
        <v>6.2270148668468805E-2</v>
      </c>
      <c r="T2219">
        <v>1.0613955254151846</v>
      </c>
      <c r="U2219">
        <v>0</v>
      </c>
      <c r="V2219">
        <v>9.6816559978342806E-2</v>
      </c>
      <c r="W2219">
        <v>3.6899005343638339E-2</v>
      </c>
      <c r="X2219">
        <v>7.2804918457859925E-3</v>
      </c>
      <c r="Y2219">
        <v>1.7681309661510534E-3</v>
      </c>
    </row>
    <row r="2220" spans="1:25" x14ac:dyDescent="0.25">
      <c r="A2220" s="1096"/>
      <c r="B2220" s="1455">
        <v>1970</v>
      </c>
      <c r="C2220" s="1100">
        <v>1.0007825099428884</v>
      </c>
      <c r="D2220" s="1100">
        <v>1.0122763510585977</v>
      </c>
      <c r="E2220" s="1100">
        <v>1.0276221902801461</v>
      </c>
      <c r="F2220" s="1100">
        <v>0.99630765869947857</v>
      </c>
      <c r="G2220" s="1100">
        <v>1.010480786773664</v>
      </c>
      <c r="H2220" s="1100">
        <v>0.972025274748746</v>
      </c>
      <c r="I2220" s="1100">
        <v>0.97565312774359458</v>
      </c>
      <c r="K2220">
        <v>1.3081207632269705</v>
      </c>
      <c r="L2220">
        <v>0</v>
      </c>
      <c r="M2220">
        <v>5.4849324284610525E-4</v>
      </c>
      <c r="N2220">
        <v>5.4816390321168619E-2</v>
      </c>
      <c r="O2220">
        <v>7.7248718523620441E-3</v>
      </c>
      <c r="P2220">
        <v>1.6479787076245058E-2</v>
      </c>
      <c r="Q2220">
        <v>4.597466199704364E-4</v>
      </c>
      <c r="R2220">
        <v>5.4682815349879632E-4</v>
      </c>
      <c r="S2220">
        <v>5.7861567491175131E-2</v>
      </c>
      <c r="T2220">
        <v>1.0277590549212818</v>
      </c>
      <c r="U2220">
        <v>0</v>
      </c>
      <c r="V2220">
        <v>9.8238024356014156E-2</v>
      </c>
      <c r="W2220">
        <v>3.5430561807489644E-2</v>
      </c>
      <c r="X2220">
        <v>7.8641378986376957E-3</v>
      </c>
      <c r="Y2220">
        <v>1.4882859719713693E-3</v>
      </c>
    </row>
    <row r="2221" spans="1:25" x14ac:dyDescent="0.25">
      <c r="A2221" s="1096"/>
      <c r="B2221" s="1455">
        <v>1971</v>
      </c>
      <c r="C2221" s="1100">
        <v>1.0205784122045469</v>
      </c>
      <c r="D2221" s="1100">
        <v>1.0171151704229127</v>
      </c>
      <c r="E2221" s="1100">
        <v>1.0204185897606761</v>
      </c>
      <c r="F2221" s="1100">
        <v>0.96955571278504704</v>
      </c>
      <c r="G2221" s="1100">
        <v>0.95903151949096299</v>
      </c>
      <c r="H2221" s="1100">
        <v>1.0074623508234755</v>
      </c>
      <c r="I2221" s="1100">
        <v>0.98955259144885266</v>
      </c>
      <c r="K2221">
        <v>1.2782629349348156</v>
      </c>
      <c r="L2221">
        <v>0</v>
      </c>
      <c r="M2221">
        <v>5.6480783924400119E-4</v>
      </c>
      <c r="N2221">
        <v>5.5239686265306731E-2</v>
      </c>
      <c r="O2221">
        <v>7.558871652667754E-3</v>
      </c>
      <c r="P2221">
        <v>1.5980720447827116E-2</v>
      </c>
      <c r="Q2221">
        <v>4.4666398600681138E-4</v>
      </c>
      <c r="R2221">
        <v>5.6315353376229743E-4</v>
      </c>
      <c r="S2221">
        <v>5.8435888451793462E-2</v>
      </c>
      <c r="T2221">
        <v>1.0003655123631383</v>
      </c>
      <c r="U2221">
        <v>0</v>
      </c>
      <c r="V2221">
        <v>9.5260102042212635E-2</v>
      </c>
      <c r="W2221">
        <v>3.5854474876155229E-2</v>
      </c>
      <c r="X2221">
        <v>7.5899508797998691E-3</v>
      </c>
      <c r="Y2221">
        <v>1.5327182753884614E-3</v>
      </c>
    </row>
    <row r="2222" spans="1:25" x14ac:dyDescent="0.25">
      <c r="A2222" s="1096"/>
      <c r="B2222" s="1455">
        <v>1972</v>
      </c>
      <c r="C2222" s="1100">
        <v>1.001070538386688</v>
      </c>
      <c r="D2222" s="1100">
        <v>1.0430710706912876</v>
      </c>
      <c r="E2222" s="1100">
        <v>0.99668226532173509</v>
      </c>
      <c r="F2222" s="1100">
        <v>1.0117425818746935</v>
      </c>
      <c r="G2222" s="1100">
        <v>1.0300196096485832</v>
      </c>
      <c r="H2222" s="1100">
        <v>0.99961906576036386</v>
      </c>
      <c r="I2222" s="1100">
        <v>1.0077493629222829</v>
      </c>
      <c r="K2222">
        <v>1.3265720504201381</v>
      </c>
      <c r="L2222">
        <v>0</v>
      </c>
      <c r="M2222">
        <v>5.9418520529826721E-4</v>
      </c>
      <c r="N2222">
        <v>5.4092553884578849E-2</v>
      </c>
      <c r="O2222">
        <v>7.6231560091174636E-3</v>
      </c>
      <c r="P2222">
        <v>1.6372808511736406E-2</v>
      </c>
      <c r="Q2222">
        <v>4.3989151234376917E-4</v>
      </c>
      <c r="R2222">
        <v>5.9243119910880879E-4</v>
      </c>
      <c r="S2222">
        <v>5.9597769300896407E-2</v>
      </c>
      <c r="T2222">
        <v>1.0446016679715346</v>
      </c>
      <c r="U2222">
        <v>0</v>
      </c>
      <c r="V2222">
        <v>9.914131802925541E-2</v>
      </c>
      <c r="W2222">
        <v>3.5605362925899671E-2</v>
      </c>
      <c r="X2222">
        <v>7.4868738518836069E-3</v>
      </c>
      <c r="Y2222">
        <v>1.6124024290818776E-3</v>
      </c>
    </row>
    <row r="2223" spans="1:25" x14ac:dyDescent="0.25">
      <c r="A2223" s="1096"/>
      <c r="B2223" s="1455">
        <v>1973</v>
      </c>
      <c r="C2223" s="1100">
        <v>0.98230410455213568</v>
      </c>
      <c r="D2223" s="1100">
        <v>0.99670096237322481</v>
      </c>
      <c r="E2223" s="1100">
        <v>0.96651361452501761</v>
      </c>
      <c r="F2223" s="1100">
        <v>0.99532984844570249</v>
      </c>
      <c r="G2223" s="1100">
        <v>0.99509755613998474</v>
      </c>
      <c r="H2223" s="1100">
        <v>0.99995342428940548</v>
      </c>
      <c r="I2223" s="1100">
        <v>0.96594329651529032</v>
      </c>
      <c r="K2223">
        <v>1.3101439143889455</v>
      </c>
      <c r="L2223">
        <v>0</v>
      </c>
      <c r="M2223">
        <v>6.5657507456563888E-4</v>
      </c>
      <c r="N2223">
        <v>5.4558532523683631E-2</v>
      </c>
      <c r="O2223">
        <v>7.9038696338918097E-3</v>
      </c>
      <c r="P2223">
        <v>1.5772970042203467E-2</v>
      </c>
      <c r="Q2223">
        <v>4.4232880336157244E-4</v>
      </c>
      <c r="R2223">
        <v>6.5463754455502327E-4</v>
      </c>
      <c r="S2223">
        <v>5.963371269662171E-2</v>
      </c>
      <c r="T2223">
        <v>1.0285661837448987</v>
      </c>
      <c r="U2223">
        <v>0</v>
      </c>
      <c r="V2223">
        <v>9.7891287649469888E-2</v>
      </c>
      <c r="W2223">
        <v>3.6571449561939348E-2</v>
      </c>
      <c r="X2223">
        <v>7.0238096678143314E-3</v>
      </c>
      <c r="Y2223">
        <v>1.7817075950702084E-3</v>
      </c>
    </row>
    <row r="2224" spans="1:25" x14ac:dyDescent="0.25">
      <c r="A2224" s="1096"/>
      <c r="B2224" s="1455">
        <v>1974</v>
      </c>
      <c r="C2224" s="1100">
        <v>0.97920708912390975</v>
      </c>
      <c r="D2224" s="1100">
        <v>0.98926817223194641</v>
      </c>
      <c r="E2224" s="1100">
        <v>1.0189223198069113</v>
      </c>
      <c r="F2224" s="1100">
        <v>0.97489528919786772</v>
      </c>
      <c r="G2224" s="1100">
        <v>1.018280963486152</v>
      </c>
      <c r="H2224" s="1100">
        <v>0.993641593910781</v>
      </c>
      <c r="I2224" s="1100">
        <v>0.98197926673344371</v>
      </c>
      <c r="K2224">
        <v>1.2944552797197801</v>
      </c>
      <c r="L2224">
        <v>0</v>
      </c>
      <c r="M2224">
        <v>5.8890862232345521E-4</v>
      </c>
      <c r="N2224">
        <v>5.7335055320196449E-2</v>
      </c>
      <c r="O2224">
        <v>7.9658227429007834E-3</v>
      </c>
      <c r="P2224">
        <v>1.6128181283694826E-2</v>
      </c>
      <c r="Q2224">
        <v>4.7001148527099938E-4</v>
      </c>
      <c r="R2224">
        <v>5.87159734441665E-4</v>
      </c>
      <c r="S2224">
        <v>6.0917590120921968E-2</v>
      </c>
      <c r="T2224">
        <v>1.0059173318439163</v>
      </c>
      <c r="U2224">
        <v>0</v>
      </c>
      <c r="V2224">
        <v>9.915139029677536E-2</v>
      </c>
      <c r="W2224">
        <v>3.7247118235393895E-2</v>
      </c>
      <c r="X2224">
        <v>7.726472038595133E-3</v>
      </c>
      <c r="Y2224">
        <v>1.5980552399957732E-3</v>
      </c>
    </row>
    <row r="2225" spans="1:25" x14ac:dyDescent="0.25">
      <c r="A2225" s="1096"/>
      <c r="B2225" s="1455">
        <v>1975</v>
      </c>
      <c r="C2225" s="1100">
        <v>0.9947028746357488</v>
      </c>
      <c r="D2225" s="1100">
        <v>0.98272914570809111</v>
      </c>
      <c r="E2225" s="1100">
        <v>0.97363391059780557</v>
      </c>
      <c r="F2225" s="1100">
        <v>0.9756689726011798</v>
      </c>
      <c r="G2225" s="1100">
        <v>1.0046649224511253</v>
      </c>
      <c r="H2225" s="1100">
        <v>0.97520348208279517</v>
      </c>
      <c r="I2225" s="1100">
        <v>0.98122420740311422</v>
      </c>
      <c r="K2225">
        <v>1.2869249326579273</v>
      </c>
      <c r="L2225">
        <v>0</v>
      </c>
      <c r="M2225">
        <v>6.2664393867317681E-4</v>
      </c>
      <c r="N2225">
        <v>5.3202202309166412E-2</v>
      </c>
      <c r="O2225">
        <v>7.8513110205943384E-3</v>
      </c>
      <c r="P2225">
        <v>1.5585558126254992E-2</v>
      </c>
      <c r="Q2225">
        <v>4.4259660672811037E-4</v>
      </c>
      <c r="R2225">
        <v>6.2474780295931605E-4</v>
      </c>
      <c r="S2225">
        <v>5.9533440880602945E-2</v>
      </c>
      <c r="T2225">
        <v>1.0080357854848752</v>
      </c>
      <c r="U2225">
        <v>0</v>
      </c>
      <c r="V2225">
        <v>9.8047589675365268E-2</v>
      </c>
      <c r="W2225">
        <v>3.5508075262937915E-2</v>
      </c>
      <c r="X2225">
        <v>7.0199118555198366E-3</v>
      </c>
      <c r="Y2225">
        <v>1.7003575715973623E-3</v>
      </c>
    </row>
    <row r="2226" spans="1:25" x14ac:dyDescent="0.25">
      <c r="A2226" s="1096"/>
      <c r="B2226" s="1455">
        <v>1976</v>
      </c>
      <c r="C2226" s="1100">
        <v>1.0040228750275515</v>
      </c>
      <c r="D2226" s="1100">
        <v>1.0011592283537367</v>
      </c>
      <c r="E2226" s="1100">
        <v>1.0241316786520605</v>
      </c>
      <c r="F2226" s="1100">
        <v>0.97556329358647831</v>
      </c>
      <c r="G2226" s="1100">
        <v>0.99241362945951861</v>
      </c>
      <c r="H2226" s="1100">
        <v>1.006133893596266</v>
      </c>
      <c r="I2226" s="1100">
        <v>0.99306985407384774</v>
      </c>
      <c r="K2226">
        <v>1.2907669398002177</v>
      </c>
      <c r="L2226">
        <v>0</v>
      </c>
      <c r="M2226">
        <v>5.7255980816360802E-4</v>
      </c>
      <c r="N2226">
        <v>5.6628314745113172E-2</v>
      </c>
      <c r="O2226">
        <v>7.7331719568567601E-3</v>
      </c>
      <c r="P2226">
        <v>1.6159687568227412E-2</v>
      </c>
      <c r="Q2226">
        <v>4.5865143730354464E-4</v>
      </c>
      <c r="R2226">
        <v>5.7088058313879112E-4</v>
      </c>
      <c r="S2226">
        <v>6.0081012137428495E-2</v>
      </c>
      <c r="T2226">
        <v>1.0064585739245011</v>
      </c>
      <c r="U2226">
        <v>0</v>
      </c>
      <c r="V2226">
        <v>9.7279951999770894E-2</v>
      </c>
      <c r="W2226">
        <v>3.6676175663418735E-2</v>
      </c>
      <c r="X2226">
        <v>7.7393308360521858E-3</v>
      </c>
      <c r="Y2226">
        <v>1.5537487565701355E-3</v>
      </c>
    </row>
    <row r="2227" spans="1:25" x14ac:dyDescent="0.25">
      <c r="A2227" s="1096"/>
      <c r="B2227" s="1455">
        <v>1977</v>
      </c>
      <c r="C2227" s="1100">
        <v>0.97511905726465931</v>
      </c>
      <c r="D2227" s="1100">
        <v>1.0210050223760074</v>
      </c>
      <c r="E2227" s="1100">
        <v>0.95514494502371994</v>
      </c>
      <c r="F2227" s="1100">
        <v>0.97095117967835587</v>
      </c>
      <c r="G2227" s="1100">
        <v>1.0065993932574837</v>
      </c>
      <c r="H2227" s="1100">
        <v>0.99187896319603475</v>
      </c>
      <c r="I2227" s="1100">
        <v>0.97377613160596865</v>
      </c>
      <c r="K2227">
        <v>1.2834926076934181</v>
      </c>
      <c r="L2227">
        <v>0</v>
      </c>
      <c r="M2227">
        <v>6.651876084175888E-4</v>
      </c>
      <c r="N2227">
        <v>5.3401337438069324E-2</v>
      </c>
      <c r="O2227">
        <v>7.8829278595477816E-3</v>
      </c>
      <c r="P2227">
        <v>1.5315605468475019E-2</v>
      </c>
      <c r="Q2227">
        <v>4.3603437234558077E-4</v>
      </c>
      <c r="R2227">
        <v>6.6320868362623622E-4</v>
      </c>
      <c r="S2227">
        <v>5.9528220256986855E-2</v>
      </c>
      <c r="T2227">
        <v>1.0037149700084282</v>
      </c>
      <c r="U2227">
        <v>0</v>
      </c>
      <c r="V2227">
        <v>9.8620770056093168E-2</v>
      </c>
      <c r="W2227">
        <v>3.6046131496235478E-2</v>
      </c>
      <c r="X2227">
        <v>6.7435542518799506E-3</v>
      </c>
      <c r="Y2227">
        <v>1.8050354101468149E-3</v>
      </c>
    </row>
    <row r="2228" spans="1:25" x14ac:dyDescent="0.25">
      <c r="A2228" s="1096"/>
      <c r="B2228" s="1455">
        <v>1978</v>
      </c>
      <c r="C2228" s="1100">
        <v>1.0003703853907773</v>
      </c>
      <c r="D2228" s="1100">
        <v>1.002196261840588</v>
      </c>
      <c r="E2228" s="1100">
        <v>0.96755779716303114</v>
      </c>
      <c r="F2228" s="1100">
        <v>0.98343014913577209</v>
      </c>
      <c r="G2228" s="1100">
        <v>0.99167060022747777</v>
      </c>
      <c r="H2228" s="1100">
        <v>1.0266670760234962</v>
      </c>
      <c r="I2228" s="1100">
        <v>1.0344474844628335</v>
      </c>
      <c r="K2228">
        <v>1.3012207466506269</v>
      </c>
      <c r="L2228">
        <v>0</v>
      </c>
      <c r="M2228">
        <v>6.590653487946554E-4</v>
      </c>
      <c r="N2228">
        <v>5.4943156468773402E-2</v>
      </c>
      <c r="O2228">
        <v>7.7443330080343466E-3</v>
      </c>
      <c r="P2228">
        <v>1.5663041881119159E-2</v>
      </c>
      <c r="Q2228">
        <v>4.338641171065443E-4</v>
      </c>
      <c r="R2228">
        <v>6.5717107538917723E-4</v>
      </c>
      <c r="S2228">
        <v>6.3368263119582741E-2</v>
      </c>
      <c r="T2228">
        <v>1.0162375477729668</v>
      </c>
      <c r="U2228">
        <v>0</v>
      </c>
      <c r="V2228">
        <v>9.7271298507520573E-2</v>
      </c>
      <c r="W2228">
        <v>3.680581548443819E-2</v>
      </c>
      <c r="X2228">
        <v>6.96671753366589E-3</v>
      </c>
      <c r="Y2228">
        <v>1.7886030308225606E-3</v>
      </c>
    </row>
    <row r="2229" spans="1:25" x14ac:dyDescent="0.25">
      <c r="A2229" s="1096"/>
      <c r="B2229" s="1455">
        <v>1979</v>
      </c>
      <c r="C2229" s="1100">
        <v>1.0172018353904286</v>
      </c>
      <c r="D2229" s="1100">
        <v>0.99373156487902392</v>
      </c>
      <c r="E2229" s="1100">
        <v>0.99753573205083512</v>
      </c>
      <c r="F2229" s="1100">
        <v>0.99286441832673855</v>
      </c>
      <c r="G2229" s="1100">
        <v>1.0140469439488964</v>
      </c>
      <c r="H2229" s="1100">
        <v>0.99979916218731579</v>
      </c>
      <c r="I2229" s="1100">
        <v>0.97408676262770177</v>
      </c>
      <c r="K2229">
        <v>1.3045158198148556</v>
      </c>
      <c r="L2229">
        <v>0</v>
      </c>
      <c r="M2229">
        <v>5.9526045875482581E-4</v>
      </c>
      <c r="N2229">
        <v>5.4330410672461117E-2</v>
      </c>
      <c r="O2229">
        <v>7.6493053373824079E-3</v>
      </c>
      <c r="P2229">
        <v>1.6082545325357401E-2</v>
      </c>
      <c r="Q2229">
        <v>4.4177989138786391E-4</v>
      </c>
      <c r="R2229">
        <v>5.9350359499426534E-4</v>
      </c>
      <c r="S2229">
        <v>5.8190862841116568E-2</v>
      </c>
      <c r="T2229">
        <v>1.0250850895553292</v>
      </c>
      <c r="U2229">
        <v>0</v>
      </c>
      <c r="V2229">
        <v>9.7976998409408642E-2</v>
      </c>
      <c r="W2229">
        <v>3.5743750273751734E-2</v>
      </c>
      <c r="X2229">
        <v>7.4015132352527203E-3</v>
      </c>
      <c r="Y2229">
        <v>1.6153211371668823E-3</v>
      </c>
    </row>
    <row r="2230" spans="1:25" x14ac:dyDescent="0.25">
      <c r="A2230" s="1096"/>
      <c r="B2230" s="1455">
        <v>1980</v>
      </c>
      <c r="C2230" s="1100">
        <v>1.001549633593704</v>
      </c>
      <c r="D2230" s="1100">
        <v>0.97620469828638834</v>
      </c>
      <c r="E2230" s="1100">
        <v>0.97608659066816872</v>
      </c>
      <c r="F2230" s="1100">
        <v>1.0285167810614362</v>
      </c>
      <c r="G2230" s="1100">
        <v>0.99687833108868129</v>
      </c>
      <c r="H2230" s="1100">
        <v>1.0030480443767635</v>
      </c>
      <c r="I2230" s="1100">
        <v>1.0212356899213462</v>
      </c>
      <c r="K2230">
        <v>1.3474173697115273</v>
      </c>
      <c r="L2230">
        <v>0</v>
      </c>
      <c r="M2230">
        <v>6.3859372716215516E-4</v>
      </c>
      <c r="N2230">
        <v>5.4625334846845966E-2</v>
      </c>
      <c r="O2230">
        <v>7.8190471543786721E-3</v>
      </c>
      <c r="P2230">
        <v>1.6379407860896773E-2</v>
      </c>
      <c r="Q2230">
        <v>4.4188116021536493E-4</v>
      </c>
      <c r="R2230">
        <v>6.3671507346714539E-4</v>
      </c>
      <c r="S2230">
        <v>6.2636113957804787E-2</v>
      </c>
      <c r="T2230">
        <v>1.0625597829513176</v>
      </c>
      <c r="U2230">
        <v>0</v>
      </c>
      <c r="V2230">
        <v>9.7503418438355374E-2</v>
      </c>
      <c r="W2230">
        <v>3.6403724803855043E-2</v>
      </c>
      <c r="X2230">
        <v>7.3176086546428622E-3</v>
      </c>
      <c r="Y2230">
        <v>1.7329285369100116E-3</v>
      </c>
    </row>
    <row r="2231" spans="1:25" x14ac:dyDescent="0.25">
      <c r="A2231" s="1096"/>
      <c r="B2231" s="1455">
        <v>1981</v>
      </c>
      <c r="C2231" s="1100">
        <v>1.0074381853131333</v>
      </c>
      <c r="D2231" s="1100">
        <v>1.0240158413159397</v>
      </c>
      <c r="E2231" s="1100">
        <v>1.0174880361939815</v>
      </c>
      <c r="F2231" s="1100">
        <v>0.98766768589539911</v>
      </c>
      <c r="G2231" s="1100">
        <v>0.95677669239506202</v>
      </c>
      <c r="H2231" s="1100">
        <v>1.0293914289755182</v>
      </c>
      <c r="I2231" s="1100">
        <v>1.011091154018293</v>
      </c>
      <c r="K2231">
        <v>1.302982501397741</v>
      </c>
      <c r="L2231">
        <v>0</v>
      </c>
      <c r="M2231">
        <v>5.8661542741189729E-4</v>
      </c>
      <c r="N2231">
        <v>5.6871059480525156E-2</v>
      </c>
      <c r="O2231">
        <v>7.6360714015778625E-3</v>
      </c>
      <c r="P2231">
        <v>1.6243091372466326E-2</v>
      </c>
      <c r="Q2231">
        <v>4.4991238357486839E-4</v>
      </c>
      <c r="R2231">
        <v>5.8493385044208702E-4</v>
      </c>
      <c r="S2231">
        <v>6.0931091995770043E-2</v>
      </c>
      <c r="T2231">
        <v>1.0191375564183558</v>
      </c>
      <c r="U2231">
        <v>0</v>
      </c>
      <c r="V2231">
        <v>9.5464595853456249E-2</v>
      </c>
      <c r="W2231">
        <v>3.697674734809496E-2</v>
      </c>
      <c r="X2231">
        <v>7.6820596033778717E-3</v>
      </c>
      <c r="Y2231">
        <v>1.5919971175113853E-3</v>
      </c>
    </row>
    <row r="2232" spans="1:25" x14ac:dyDescent="0.25">
      <c r="A2232" s="1096"/>
      <c r="B2232" s="1455">
        <v>1982</v>
      </c>
      <c r="C2232" s="1100">
        <v>0.99461343880436237</v>
      </c>
      <c r="D2232" s="1100">
        <v>1.0091590415564899</v>
      </c>
      <c r="E2232" s="1100">
        <v>0.97909165853688285</v>
      </c>
      <c r="F2232" s="1100">
        <v>1.0068982596258802</v>
      </c>
      <c r="G2232" s="1100">
        <v>1.0131513957013074</v>
      </c>
      <c r="H2232" s="1100">
        <v>0.98525556107104539</v>
      </c>
      <c r="I2232" s="1100">
        <v>0.99570831232868073</v>
      </c>
      <c r="K2232">
        <v>1.3207268452891696</v>
      </c>
      <c r="L2232">
        <v>0</v>
      </c>
      <c r="M2232">
        <v>6.1944803332487886E-4</v>
      </c>
      <c r="N2232">
        <v>5.346882537323492E-2</v>
      </c>
      <c r="O2232">
        <v>7.7704407050914973E-3</v>
      </c>
      <c r="P2232">
        <v>1.6091640798244995E-2</v>
      </c>
      <c r="Q2232">
        <v>4.4047936773030429E-4</v>
      </c>
      <c r="R2232">
        <v>6.1759279459527492E-4</v>
      </c>
      <c r="S2232">
        <v>5.9872130449575837E-2</v>
      </c>
      <c r="T2232">
        <v>1.0401336172035114</v>
      </c>
      <c r="U2232">
        <v>0</v>
      </c>
      <c r="V2232">
        <v>9.8466372810926184E-2</v>
      </c>
      <c r="W2232">
        <v>3.5568275193093066E-2</v>
      </c>
      <c r="X2232">
        <v>7.2360346290121788E-3</v>
      </c>
      <c r="Y2232">
        <v>1.6808839974783163E-3</v>
      </c>
    </row>
    <row r="2233" spans="1:25" x14ac:dyDescent="0.25">
      <c r="A2233" s="1096"/>
      <c r="B2233" s="1455">
        <v>1983</v>
      </c>
      <c r="C2233" s="1100">
        <v>1.000006638756185</v>
      </c>
      <c r="D2233" s="1100">
        <v>1.0025415349373601</v>
      </c>
      <c r="E2233" s="1100">
        <v>0.99456272086695918</v>
      </c>
      <c r="F2233" s="1100">
        <v>0.9731896213623058</v>
      </c>
      <c r="G2233" s="1100">
        <v>0.99682238499843723</v>
      </c>
      <c r="H2233" s="1100">
        <v>0.99572824190636655</v>
      </c>
      <c r="I2233" s="1100">
        <v>0.99537525939279237</v>
      </c>
      <c r="K2233">
        <v>1.2861478355924594</v>
      </c>
      <c r="L2233">
        <v>0</v>
      </c>
      <c r="M2233">
        <v>6.046201929491927E-4</v>
      </c>
      <c r="N2233">
        <v>5.4690429338774063E-2</v>
      </c>
      <c r="O2233">
        <v>7.7526846686982913E-3</v>
      </c>
      <c r="P2233">
        <v>1.5791938806059572E-2</v>
      </c>
      <c r="Q2233">
        <v>4.4641150080408068E-4</v>
      </c>
      <c r="R2233">
        <v>6.0282840900493097E-4</v>
      </c>
      <c r="S2233">
        <v>6.0072903933844672E-2</v>
      </c>
      <c r="T2233">
        <v>1.0048582616825947</v>
      </c>
      <c r="U2233">
        <v>0</v>
      </c>
      <c r="V2233">
        <v>9.7559353197560816E-2</v>
      </c>
      <c r="W2233">
        <v>3.6044437866899842E-2</v>
      </c>
      <c r="X2233">
        <v>7.2925061741855556E-3</v>
      </c>
      <c r="Y2233">
        <v>1.6407002069798011E-3</v>
      </c>
    </row>
    <row r="2234" spans="1:25" x14ac:dyDescent="0.25">
      <c r="A2234" s="1096"/>
      <c r="B2234" s="1455">
        <v>1984</v>
      </c>
      <c r="C2234" s="1100">
        <v>0.97721218954531364</v>
      </c>
      <c r="D2234" s="1100">
        <v>1.0171704277098954</v>
      </c>
      <c r="E2234" s="1100">
        <v>0.99843420965627716</v>
      </c>
      <c r="F2234" s="1100">
        <v>0.97914206617542776</v>
      </c>
      <c r="G2234" s="1100">
        <v>1.0290105559763199</v>
      </c>
      <c r="H2234" s="1100">
        <v>1.0025350679788363</v>
      </c>
      <c r="I2234" s="1100">
        <v>1.0045271675070917</v>
      </c>
      <c r="K2234">
        <v>1.2989834663219442</v>
      </c>
      <c r="L2234">
        <v>0</v>
      </c>
      <c r="M2234">
        <v>6.1440266879523361E-4</v>
      </c>
      <c r="N2234">
        <v>5.6230457796330777E-2</v>
      </c>
      <c r="O2234">
        <v>7.8886509021970867E-3</v>
      </c>
      <c r="P2234">
        <v>1.5972314501602903E-2</v>
      </c>
      <c r="Q2234">
        <v>4.560152297843396E-4</v>
      </c>
      <c r="R2234">
        <v>6.1259425696696609E-4</v>
      </c>
      <c r="S2234">
        <v>6.1775263895583708E-2</v>
      </c>
      <c r="T2234">
        <v>1.0108911780867853</v>
      </c>
      <c r="U2234">
        <v>0</v>
      </c>
      <c r="V2234">
        <v>9.9698877458695517E-2</v>
      </c>
      <c r="W2234">
        <v>3.6974002275094064E-2</v>
      </c>
      <c r="X2234">
        <v>7.4312349618765507E-3</v>
      </c>
      <c r="Y2234">
        <v>1.667279625821545E-3</v>
      </c>
    </row>
    <row r="2235" spans="1:25" x14ac:dyDescent="0.25">
      <c r="A2235" s="1096"/>
      <c r="B2235" s="1455">
        <v>1985</v>
      </c>
      <c r="C2235" s="1100">
        <v>0.99045789185537114</v>
      </c>
      <c r="D2235" s="1100">
        <v>0.98175252409710601</v>
      </c>
      <c r="E2235" s="1100">
        <v>1.0216286236064394</v>
      </c>
      <c r="F2235" s="1100">
        <v>0.98401833103741243</v>
      </c>
      <c r="G2235" s="1100">
        <v>1.0178738744647966</v>
      </c>
      <c r="H2235" s="1100">
        <v>0.97296330492564598</v>
      </c>
      <c r="I2235" s="1100">
        <v>1.0185205542278715</v>
      </c>
      <c r="K2235">
        <v>1.3021794313680286</v>
      </c>
      <c r="L2235">
        <v>0</v>
      </c>
      <c r="M2235">
        <v>5.6863341242023092E-4</v>
      </c>
      <c r="N2235">
        <v>5.5811392474824729E-2</v>
      </c>
      <c r="O2235">
        <v>7.9000753948533994E-3</v>
      </c>
      <c r="P2235">
        <v>1.6301357426059478E-2</v>
      </c>
      <c r="Q2235">
        <v>4.6738776708559393E-4</v>
      </c>
      <c r="R2235">
        <v>5.6690884676856117E-4</v>
      </c>
      <c r="S2235">
        <v>6.207157421667249E-2</v>
      </c>
      <c r="T2235">
        <v>1.0152530149984877</v>
      </c>
      <c r="U2235">
        <v>0</v>
      </c>
      <c r="V2235">
        <v>9.8847185412424224E-2</v>
      </c>
      <c r="W2235">
        <v>3.6199937149481734E-2</v>
      </c>
      <c r="X2235">
        <v>7.7862920943368736E-3</v>
      </c>
      <c r="Y2235">
        <v>1.5429389994529117E-3</v>
      </c>
    </row>
    <row r="2236" spans="1:25" x14ac:dyDescent="0.25">
      <c r="A2236" s="1096"/>
      <c r="B2236" s="1455">
        <v>1986</v>
      </c>
      <c r="C2236" s="1100">
        <v>1.0105724153478564</v>
      </c>
      <c r="D2236" s="1100">
        <v>1.0205539933850414</v>
      </c>
      <c r="E2236" s="1100">
        <v>0.96142628573576527</v>
      </c>
      <c r="F2236" s="1100">
        <v>1.0382847620965958</v>
      </c>
      <c r="G2236" s="1100">
        <v>1.0006871696312263</v>
      </c>
      <c r="H2236" s="1100">
        <v>1.0014054333911711</v>
      </c>
      <c r="I2236" s="1100">
        <v>0.99544303865465689</v>
      </c>
      <c r="K2236">
        <v>1.3502911001882303</v>
      </c>
      <c r="L2236">
        <v>0</v>
      </c>
      <c r="M2236">
        <v>6.3979580382010637E-4</v>
      </c>
      <c r="N2236">
        <v>5.23514552043551E-2</v>
      </c>
      <c r="O2236">
        <v>7.6092228725429525E-3</v>
      </c>
      <c r="P2236">
        <v>1.6287382837263078E-2</v>
      </c>
      <c r="Q2236">
        <v>4.2362342305084596E-4</v>
      </c>
      <c r="R2236">
        <v>6.379105264162526E-4</v>
      </c>
      <c r="S2236">
        <v>5.9021750146138384E-2</v>
      </c>
      <c r="T2236">
        <v>1.0731183816524756</v>
      </c>
      <c r="U2236">
        <v>0</v>
      </c>
      <c r="V2236">
        <v>9.7450714780935047E-2</v>
      </c>
      <c r="W2236">
        <v>3.52013586524434E-2</v>
      </c>
      <c r="X2236">
        <v>7.0929137306709987E-3</v>
      </c>
      <c r="Y2236">
        <v>1.7361821657565224E-3</v>
      </c>
    </row>
    <row r="2237" spans="1:25" x14ac:dyDescent="0.25">
      <c r="A2237" s="1096"/>
      <c r="B2237" s="1455">
        <v>1987</v>
      </c>
      <c r="C2237" s="1100">
        <v>1.0206453916226472</v>
      </c>
      <c r="D2237" s="1100">
        <v>0.99308926036040146</v>
      </c>
      <c r="E2237" s="1100">
        <v>0.9918482041680271</v>
      </c>
      <c r="F2237" s="1100">
        <v>0.99382780314881936</v>
      </c>
      <c r="G2237" s="1100">
        <v>1.0096982523933831</v>
      </c>
      <c r="H2237" s="1100">
        <v>0.98035532002442116</v>
      </c>
      <c r="I2237" s="1100">
        <v>1.0057883838242381</v>
      </c>
      <c r="K2237">
        <v>1.3039382138227511</v>
      </c>
      <c r="L2237">
        <v>0</v>
      </c>
      <c r="M2237">
        <v>5.8876472382444675E-4</v>
      </c>
      <c r="N2237">
        <v>5.281858178953535E-2</v>
      </c>
      <c r="O2237">
        <v>7.6240986741210595E-3</v>
      </c>
      <c r="P2237">
        <v>1.6041033229597709E-2</v>
      </c>
      <c r="Q2237">
        <v>4.3780658450517256E-4</v>
      </c>
      <c r="R2237">
        <v>5.8699256725294399E-4</v>
      </c>
      <c r="S2237">
        <v>5.9310623607331289E-2</v>
      </c>
      <c r="T2237">
        <v>1.0262488780528374</v>
      </c>
      <c r="U2237">
        <v>0</v>
      </c>
      <c r="V2237">
        <v>9.7678123426585689E-2</v>
      </c>
      <c r="W2237">
        <v>3.4867282849102475E-2</v>
      </c>
      <c r="X2237">
        <v>7.3159574996909688E-3</v>
      </c>
      <c r="Y2237">
        <v>1.5976002660147235E-3</v>
      </c>
    </row>
    <row r="2238" spans="1:25" x14ac:dyDescent="0.25">
      <c r="A2238" s="1096"/>
      <c r="B2238" s="1455">
        <v>1988</v>
      </c>
      <c r="C2238" s="1100">
        <v>0.98193582756184727</v>
      </c>
      <c r="D2238" s="1100">
        <v>0.96880212584567293</v>
      </c>
      <c r="E2238" s="1100">
        <v>0.9685527381511827</v>
      </c>
      <c r="F2238" s="1100">
        <v>1.0175394295993967</v>
      </c>
      <c r="G2238" s="1100">
        <v>0.95520882301141319</v>
      </c>
      <c r="H2238" s="1100">
        <v>1.0399692479826936</v>
      </c>
      <c r="I2238" s="1100">
        <v>0.95410638542251358</v>
      </c>
      <c r="K2238">
        <v>1.3380939881964398</v>
      </c>
      <c r="L2238">
        <v>0</v>
      </c>
      <c r="M2238">
        <v>6.8800623175215893E-4</v>
      </c>
      <c r="N2238">
        <v>5.7531015586218683E-2</v>
      </c>
      <c r="O2238">
        <v>7.9976505786593811E-3</v>
      </c>
      <c r="P2238">
        <v>1.6095626030552562E-2</v>
      </c>
      <c r="Q2238">
        <v>4.4851219455843683E-4</v>
      </c>
      <c r="R2238">
        <v>6.8605407047923417E-4</v>
      </c>
      <c r="S2238">
        <v>6.103378178105355E-2</v>
      </c>
      <c r="T2238">
        <v>1.051453617741712</v>
      </c>
      <c r="U2238">
        <v>0</v>
      </c>
      <c r="V2238">
        <v>9.5973704602773699E-2</v>
      </c>
      <c r="W2238">
        <v>3.851602712566702E-2</v>
      </c>
      <c r="X2238">
        <v>7.1787916943352953E-3</v>
      </c>
      <c r="Y2238">
        <v>1.8672130221809233E-3</v>
      </c>
    </row>
    <row r="2239" spans="1:25" x14ac:dyDescent="0.25">
      <c r="A2239" s="1096"/>
      <c r="B2239" s="1455">
        <v>1989</v>
      </c>
      <c r="C2239" s="1100">
        <v>0.96955196622437945</v>
      </c>
      <c r="D2239" s="1100">
        <v>1.0445987700038926</v>
      </c>
      <c r="E2239" s="1100">
        <v>0.98444479832517218</v>
      </c>
      <c r="F2239" s="1100">
        <v>0.97299200251666296</v>
      </c>
      <c r="G2239" s="1100">
        <v>1.0214163307397814</v>
      </c>
      <c r="H2239" s="1100">
        <v>1.0343642007508569</v>
      </c>
      <c r="I2239" s="1100">
        <v>0.99556558186671262</v>
      </c>
      <c r="K2239">
        <v>1.2942157312780318</v>
      </c>
      <c r="L2239">
        <v>0</v>
      </c>
      <c r="M2239">
        <v>6.5074091802675175E-4</v>
      </c>
      <c r="N2239">
        <v>5.7095130982238118E-2</v>
      </c>
      <c r="O2239">
        <v>7.8633259040889816E-3</v>
      </c>
      <c r="P2239">
        <v>1.5723010966521098E-2</v>
      </c>
      <c r="Q2239">
        <v>4.4817418291381931E-4</v>
      </c>
      <c r="R2239">
        <v>6.4888448856217635E-4</v>
      </c>
      <c r="S2239">
        <v>6.1801967625719198E-2</v>
      </c>
      <c r="T2239">
        <v>1.0049503233637833</v>
      </c>
      <c r="U2239">
        <v>0</v>
      </c>
      <c r="V2239">
        <v>9.9516035082255053E-2</v>
      </c>
      <c r="W2239">
        <v>3.7858151777357969E-2</v>
      </c>
      <c r="X2239">
        <v>7.1954181494656745E-3</v>
      </c>
      <c r="Y2239">
        <v>1.7660496731520775E-3</v>
      </c>
    </row>
    <row r="2240" spans="1:25" x14ac:dyDescent="0.25">
      <c r="A2240" s="1096"/>
      <c r="B2240" s="1455">
        <v>1990</v>
      </c>
      <c r="C2240" s="1100">
        <v>1.0197887727462032</v>
      </c>
      <c r="D2240" s="1100">
        <v>0.96131690941808057</v>
      </c>
      <c r="E2240" s="1100">
        <v>1.0205670725333684</v>
      </c>
      <c r="F2240" s="1100">
        <v>1.0065439434302452</v>
      </c>
      <c r="G2240" s="1100">
        <v>1.0072382264391484</v>
      </c>
      <c r="H2240" s="1100">
        <v>1.0081554977268501</v>
      </c>
      <c r="I2240" s="1100">
        <v>0.96179950789695645</v>
      </c>
      <c r="K2240">
        <v>1.3222077534366103</v>
      </c>
      <c r="L2240">
        <v>0</v>
      </c>
      <c r="M2240">
        <v>5.7836606423514105E-4</v>
      </c>
      <c r="N2240">
        <v>5.6591173314195511E-2</v>
      </c>
      <c r="O2240">
        <v>7.7374274008963134E-3</v>
      </c>
      <c r="P2240">
        <v>1.6545834211175642E-2</v>
      </c>
      <c r="Q2240">
        <v>4.5728256521341718E-4</v>
      </c>
      <c r="R2240">
        <v>5.766732118168105E-4</v>
      </c>
      <c r="S2240">
        <v>5.8607153244395437E-2</v>
      </c>
      <c r="T2240">
        <v>1.0385247691529431</v>
      </c>
      <c r="U2240">
        <v>0</v>
      </c>
      <c r="V2240">
        <v>9.761148558266558E-2</v>
      </c>
      <c r="W2240">
        <v>3.6728496322200495E-2</v>
      </c>
      <c r="X2240">
        <v>7.8363101130491056E-3</v>
      </c>
      <c r="Y2240">
        <v>1.5695143822921735E-3</v>
      </c>
    </row>
    <row r="2241" spans="1:25" x14ac:dyDescent="0.25">
      <c r="A2241" s="1096"/>
      <c r="B2241" s="1455">
        <v>1991</v>
      </c>
      <c r="C2241" s="1100">
        <v>0.95443059085634796</v>
      </c>
      <c r="D2241" s="1100">
        <v>0.98402455017442825</v>
      </c>
      <c r="E2241" s="1100">
        <v>0.98823050892655684</v>
      </c>
      <c r="F2241" s="1100">
        <v>1.0253943842774711</v>
      </c>
      <c r="G2241" s="1100">
        <v>1.0133134615159358</v>
      </c>
      <c r="H2241" s="1100">
        <v>1.0367735757804921</v>
      </c>
      <c r="I2241" s="1100">
        <v>0.99447323516302866</v>
      </c>
      <c r="K2241">
        <v>1.3572120753486803</v>
      </c>
      <c r="L2241">
        <v>0</v>
      </c>
      <c r="M2241">
        <v>6.7331707153729127E-4</v>
      </c>
      <c r="N2241">
        <v>5.9756572735460187E-2</v>
      </c>
      <c r="O2241">
        <v>8.1820542030870084E-3</v>
      </c>
      <c r="P2241">
        <v>1.6539267607937384E-2</v>
      </c>
      <c r="Q2241">
        <v>4.6813176138155177E-4</v>
      </c>
      <c r="R2241">
        <v>6.7140070082740257E-4</v>
      </c>
      <c r="S2241">
        <v>6.4824604094469787E-2</v>
      </c>
      <c r="T2241">
        <v>1.0589567558236819</v>
      </c>
      <c r="U2241">
        <v>0</v>
      </c>
      <c r="V2241">
        <v>9.9533245687989436E-2</v>
      </c>
      <c r="W2241">
        <v>3.9532859825312537E-2</v>
      </c>
      <c r="X2241">
        <v>7.5931685995992391E-3</v>
      </c>
      <c r="Y2241">
        <v>1.8273313804706452E-3</v>
      </c>
    </row>
    <row r="2242" spans="1:25" x14ac:dyDescent="0.25">
      <c r="A2242" s="1096"/>
      <c r="B2242" s="1455">
        <v>1992</v>
      </c>
      <c r="C2242" s="1100">
        <v>1.0004060739203098</v>
      </c>
      <c r="D2242" s="1100">
        <v>0.98679211071425088</v>
      </c>
      <c r="E2242" s="1100">
        <v>0.99722606117581336</v>
      </c>
      <c r="F2242" s="1100">
        <v>1.0191889435750006</v>
      </c>
      <c r="G2242" s="1100">
        <v>0.99062792650307818</v>
      </c>
      <c r="H2242" s="1100">
        <v>1.0015848540094729</v>
      </c>
      <c r="I2242" s="1100">
        <v>1.0070848620550785</v>
      </c>
      <c r="K2242">
        <v>1.3369275971525714</v>
      </c>
      <c r="L2242">
        <v>0</v>
      </c>
      <c r="M2242">
        <v>6.0842780498272439E-4</v>
      </c>
      <c r="N2242">
        <v>5.5480568375888377E-2</v>
      </c>
      <c r="O2242">
        <v>7.7994849953161817E-3</v>
      </c>
      <c r="P2242">
        <v>1.6483497297894105E-2</v>
      </c>
      <c r="Q2242">
        <v>4.5031300852167239E-4</v>
      </c>
      <c r="R2242">
        <v>6.0663528038961822E-4</v>
      </c>
      <c r="S2242">
        <v>6.1457544415420826E-2</v>
      </c>
      <c r="T2242">
        <v>1.0522733234252428</v>
      </c>
      <c r="U2242">
        <v>0</v>
      </c>
      <c r="V2242">
        <v>9.7252759839792341E-2</v>
      </c>
      <c r="W2242">
        <v>3.6507166709472939E-2</v>
      </c>
      <c r="X2242">
        <v>7.5736703536610529E-3</v>
      </c>
      <c r="Y2242">
        <v>1.6510612559541052E-3</v>
      </c>
    </row>
    <row r="2243" spans="1:25" x14ac:dyDescent="0.25">
      <c r="A2243" s="1096"/>
      <c r="B2243" s="1455">
        <v>1993</v>
      </c>
      <c r="C2243" s="1100">
        <v>0.96281617680308551</v>
      </c>
      <c r="D2243" s="1100">
        <v>0.97115570925375261</v>
      </c>
      <c r="E2243" s="1100">
        <v>0.98107281290820725</v>
      </c>
      <c r="F2243" s="1100">
        <v>0.99090194244793661</v>
      </c>
      <c r="G2243" s="1100">
        <v>0.97034418546710233</v>
      </c>
      <c r="H2243" s="1100">
        <v>0.97715634958055531</v>
      </c>
      <c r="I2243" s="1100">
        <v>1.0101194810134466</v>
      </c>
      <c r="K2243">
        <v>1.3108892803390437</v>
      </c>
      <c r="L2243">
        <v>0</v>
      </c>
      <c r="M2243">
        <v>6.4183017439291127E-4</v>
      </c>
      <c r="N2243">
        <v>5.5732478580427652E-2</v>
      </c>
      <c r="O2243">
        <v>8.1517722038128865E-3</v>
      </c>
      <c r="P2243">
        <v>1.5928876526839459E-2</v>
      </c>
      <c r="Q2243">
        <v>4.6302711936883445E-4</v>
      </c>
      <c r="R2243">
        <v>6.3989196858474113E-4</v>
      </c>
      <c r="S2243">
        <v>6.379259360741707E-2</v>
      </c>
      <c r="T2243">
        <v>1.0235496977913834</v>
      </c>
      <c r="U2243">
        <v>0</v>
      </c>
      <c r="V2243">
        <v>9.7220599288012632E-2</v>
      </c>
      <c r="W2243">
        <v>3.7029770582117538E-2</v>
      </c>
      <c r="X2243">
        <v>7.2808278473151574E-3</v>
      </c>
      <c r="Y2243">
        <v>1.7415749981569133E-3</v>
      </c>
    </row>
    <row r="2244" spans="1:25" x14ac:dyDescent="0.25">
      <c r="A2244" s="1096"/>
      <c r="B2244" s="1455">
        <v>1994</v>
      </c>
      <c r="C2244" s="1100">
        <v>0.96858623548670331</v>
      </c>
      <c r="D2244" s="1100">
        <v>1.0051335120441169</v>
      </c>
      <c r="E2244" s="1100">
        <v>1.019390179934714</v>
      </c>
      <c r="F2244" s="1100">
        <v>1.0402471725370162</v>
      </c>
      <c r="G2244" s="1100">
        <v>0.97710008862038189</v>
      </c>
      <c r="H2244" s="1100">
        <v>1.0175632628023172</v>
      </c>
      <c r="I2244" s="1100">
        <v>1.0122493702796407</v>
      </c>
      <c r="K2244">
        <v>1.3670999947268885</v>
      </c>
      <c r="L2244">
        <v>0</v>
      </c>
      <c r="M2244">
        <v>6.052422326111495E-4</v>
      </c>
      <c r="N2244">
        <v>5.901263027326277E-2</v>
      </c>
      <c r="O2244">
        <v>8.0022008642011647E-3</v>
      </c>
      <c r="P2244">
        <v>1.7081377613995335E-2</v>
      </c>
      <c r="Q2244">
        <v>4.7237768544268743E-4</v>
      </c>
      <c r="R2244">
        <v>6.0348709317785095E-4</v>
      </c>
      <c r="S2244">
        <v>6.3706571930176953E-2</v>
      </c>
      <c r="T2244">
        <v>1.0733345613581886</v>
      </c>
      <c r="U2244">
        <v>0</v>
      </c>
      <c r="V2244">
        <v>9.7437072584022108E-2</v>
      </c>
      <c r="W2244">
        <v>3.8326438006540606E-2</v>
      </c>
      <c r="X2244">
        <v>8.0860266223288964E-3</v>
      </c>
      <c r="Y2244">
        <v>1.6424929281633105E-3</v>
      </c>
    </row>
    <row r="2245" spans="1:25" x14ac:dyDescent="0.25">
      <c r="A2245" s="1096"/>
      <c r="B2245" s="1455">
        <v>1995</v>
      </c>
      <c r="C2245" s="1100">
        <v>0.99413560733751649</v>
      </c>
      <c r="D2245" s="1100">
        <v>0.99375574121250898</v>
      </c>
      <c r="E2245" s="1100">
        <v>1.0240642478558608</v>
      </c>
      <c r="F2245" s="1100">
        <v>0.97111137788081048</v>
      </c>
      <c r="G2245" s="1100">
        <v>1.0081249029849504</v>
      </c>
      <c r="H2245" s="1100">
        <v>1.0349378590719502</v>
      </c>
      <c r="I2245" s="1100">
        <v>1.0360199358679494</v>
      </c>
      <c r="K2245">
        <v>1.2957229015555416</v>
      </c>
      <c r="L2245">
        <v>0</v>
      </c>
      <c r="M2245">
        <v>5.9666107035970814E-4</v>
      </c>
      <c r="N2245">
        <v>5.9004850498411629E-2</v>
      </c>
      <c r="O2245">
        <v>7.8332884379902351E-3</v>
      </c>
      <c r="P2245">
        <v>1.617015197121972E-2</v>
      </c>
      <c r="Q2245">
        <v>4.645582340699808E-4</v>
      </c>
      <c r="R2245">
        <v>5.9495986302280724E-4</v>
      </c>
      <c r="S2245">
        <v>6.4474410668143148E-2</v>
      </c>
      <c r="T2245">
        <v>1.0018675719956667</v>
      </c>
      <c r="U2245">
        <v>0</v>
      </c>
      <c r="V2245">
        <v>9.8285649539891565E-2</v>
      </c>
      <c r="W2245">
        <v>3.8216877417150671E-2</v>
      </c>
      <c r="X2245">
        <v>7.7879593816532556E-3</v>
      </c>
      <c r="Y2245">
        <v>1.619284618681947E-3</v>
      </c>
    </row>
    <row r="2246" spans="1:25" x14ac:dyDescent="0.25">
      <c r="A2246" s="1096"/>
      <c r="B2246" s="1455">
        <v>1996</v>
      </c>
      <c r="C2246" s="1100">
        <v>0.9798643437128014</v>
      </c>
      <c r="D2246" s="1100">
        <v>0.99086425221519459</v>
      </c>
      <c r="E2246" s="1100">
        <v>1.0140501316689716</v>
      </c>
      <c r="F2246" s="1100">
        <v>1.0019706443967211</v>
      </c>
      <c r="G2246" s="1100">
        <v>1.004267897689088</v>
      </c>
      <c r="H2246" s="1100">
        <v>0.96721681358918143</v>
      </c>
      <c r="I2246" s="1100">
        <v>1.0028958555388654</v>
      </c>
      <c r="K2246">
        <v>1.3195652048366233</v>
      </c>
      <c r="L2246">
        <v>0</v>
      </c>
      <c r="M2246">
        <v>5.783234500055536E-4</v>
      </c>
      <c r="N2246">
        <v>5.5478247083833941E-2</v>
      </c>
      <c r="O2246">
        <v>7.9541198524324657E-3</v>
      </c>
      <c r="P2246">
        <v>1.6452921131994626E-2</v>
      </c>
      <c r="Q2246">
        <v>4.670488578367699E-4</v>
      </c>
      <c r="R2246">
        <v>5.7655907546081417E-4</v>
      </c>
      <c r="S2246">
        <v>6.1285654949531573E-2</v>
      </c>
      <c r="T2246">
        <v>1.0339971638825836</v>
      </c>
      <c r="U2246">
        <v>0</v>
      </c>
      <c r="V2246">
        <v>9.8450895193646012E-2</v>
      </c>
      <c r="W2246">
        <v>3.6144028060696824E-2</v>
      </c>
      <c r="X2246">
        <v>7.7676864578547508E-3</v>
      </c>
      <c r="Y2246">
        <v>1.5692037407561911E-3</v>
      </c>
    </row>
    <row r="2247" spans="1:25" x14ac:dyDescent="0.25">
      <c r="A2247" s="1096"/>
      <c r="B2247" s="1455">
        <v>1997</v>
      </c>
      <c r="C2247" s="1100">
        <v>0.98761446211854509</v>
      </c>
      <c r="D2247" s="1100">
        <v>1.028249359703501</v>
      </c>
      <c r="E2247" s="1100">
        <v>1.0305440804665711</v>
      </c>
      <c r="F2247" s="1100">
        <v>0.99343933982904431</v>
      </c>
      <c r="G2247" s="1100">
        <v>0.99274944834589907</v>
      </c>
      <c r="H2247" s="1100">
        <v>1.0009737875296352</v>
      </c>
      <c r="I2247" s="1100">
        <v>1.0036540100880897</v>
      </c>
      <c r="K2247">
        <v>1.3111392228242107</v>
      </c>
      <c r="L2247">
        <v>0</v>
      </c>
      <c r="M2247">
        <v>5.6533396385012049E-4</v>
      </c>
      <c r="N2247">
        <v>5.7004364020159577E-2</v>
      </c>
      <c r="O2247">
        <v>7.779721985346399E-3</v>
      </c>
      <c r="P2247">
        <v>1.6504712864266146E-2</v>
      </c>
      <c r="Q2247">
        <v>4.6435121385960835E-4</v>
      </c>
      <c r="R2247">
        <v>5.6366738375251675E-4</v>
      </c>
      <c r="S2247">
        <v>6.0701781660419625E-2</v>
      </c>
      <c r="T2247">
        <v>1.0247162935688345</v>
      </c>
      <c r="U2247">
        <v>0</v>
      </c>
      <c r="V2247">
        <v>9.771370836758117E-2</v>
      </c>
      <c r="W2247">
        <v>3.6782274289581203E-2</v>
      </c>
      <c r="X2247">
        <v>7.9395646285886357E-3</v>
      </c>
      <c r="Y2247">
        <v>1.5341168056712351E-3</v>
      </c>
    </row>
    <row r="2248" spans="1:25" x14ac:dyDescent="0.25">
      <c r="A2248" s="1096"/>
      <c r="B2248" s="1455">
        <v>1998</v>
      </c>
      <c r="C2248" s="1100">
        <v>1.008807068538573</v>
      </c>
      <c r="D2248" s="1100">
        <v>1.0210744882396747</v>
      </c>
      <c r="E2248" s="1100">
        <v>0.95434910487622504</v>
      </c>
      <c r="F2248" s="1100">
        <v>0.96242557727885492</v>
      </c>
      <c r="G2248" s="1100">
        <v>1.0363908306385261</v>
      </c>
      <c r="H2248" s="1100">
        <v>1.0099566574429262</v>
      </c>
      <c r="I2248" s="1100">
        <v>1.0016492668654784</v>
      </c>
      <c r="K2248">
        <v>1.2735191694099937</v>
      </c>
      <c r="L2248">
        <v>0</v>
      </c>
      <c r="M2248">
        <v>6.5574905660106895E-4</v>
      </c>
      <c r="N2248">
        <v>5.2519568722572151E-2</v>
      </c>
      <c r="O2248">
        <v>7.6192881246732033E-3</v>
      </c>
      <c r="P2248">
        <v>1.520077738597078E-2</v>
      </c>
      <c r="Q2248">
        <v>4.2110586127979929E-4</v>
      </c>
      <c r="R2248">
        <v>6.538331304887803E-4</v>
      </c>
      <c r="S2248">
        <v>5.9727584553366811E-2</v>
      </c>
      <c r="T2248">
        <v>0.99492551700169751</v>
      </c>
      <c r="U2248">
        <v>0</v>
      </c>
      <c r="V2248">
        <v>9.9212588445430808E-2</v>
      </c>
      <c r="W2248">
        <v>3.5468319224010392E-2</v>
      </c>
      <c r="X2248">
        <v>6.6468177719477377E-3</v>
      </c>
      <c r="Y2248">
        <v>1.7795182451569205E-3</v>
      </c>
    </row>
    <row r="2249" spans="1:25" x14ac:dyDescent="0.25">
      <c r="A2249" s="1096"/>
      <c r="B2249" s="1455">
        <v>1999</v>
      </c>
      <c r="C2249" s="1100">
        <v>0.9974894934758195</v>
      </c>
      <c r="D2249" s="1100">
        <v>1.003901198861167</v>
      </c>
      <c r="E2249" s="1100">
        <v>0.99500953338459108</v>
      </c>
      <c r="F2249" s="1100">
        <v>1.0177208338344448</v>
      </c>
      <c r="G2249" s="1100">
        <v>1.0010409021137059</v>
      </c>
      <c r="H2249" s="1100">
        <v>0.97981339100124754</v>
      </c>
      <c r="I2249" s="1100">
        <v>1.0181453922478734</v>
      </c>
      <c r="K2249">
        <v>1.3329884108182615</v>
      </c>
      <c r="L2249">
        <v>0</v>
      </c>
      <c r="M2249">
        <v>5.9558276008336928E-4</v>
      </c>
      <c r="N2249">
        <v>5.3943152289068964E-2</v>
      </c>
      <c r="O2249">
        <v>7.7681457693970623E-3</v>
      </c>
      <c r="P2249">
        <v>1.6438916170279011E-2</v>
      </c>
      <c r="Q2249">
        <v>4.4750329624987953E-4</v>
      </c>
      <c r="R2249">
        <v>5.9378908999512437E-4</v>
      </c>
      <c r="S2249">
        <v>6.106263757438786E-2</v>
      </c>
      <c r="T2249">
        <v>1.0508249620628864</v>
      </c>
      <c r="U2249">
        <v>0</v>
      </c>
      <c r="V2249">
        <v>9.7826455924608896E-2</v>
      </c>
      <c r="W2249">
        <v>3.5542456317454986E-2</v>
      </c>
      <c r="X2249">
        <v>7.5198769235709072E-3</v>
      </c>
      <c r="Y2249">
        <v>1.6160981604458188E-3</v>
      </c>
    </row>
    <row r="2250" spans="1:25" x14ac:dyDescent="0.25">
      <c r="A2250" s="1096"/>
      <c r="B2250" s="1455">
        <v>2000</v>
      </c>
      <c r="C2250" s="1100">
        <v>1.0194628080279782</v>
      </c>
      <c r="D2250" s="1100">
        <v>1.0243975351758436</v>
      </c>
      <c r="E2250" s="1100">
        <v>0.95497634084539129</v>
      </c>
      <c r="F2250" s="1100">
        <v>1.0304847398519679</v>
      </c>
      <c r="G2250" s="1100">
        <v>1.0034922365441417</v>
      </c>
      <c r="H2250" s="1100">
        <v>0.99722437962289812</v>
      </c>
      <c r="I2250" s="1100">
        <v>0.99467425019777722</v>
      </c>
      <c r="K2250">
        <v>1.3394537783621008</v>
      </c>
      <c r="L2250">
        <v>0</v>
      </c>
      <c r="M2250">
        <v>6.3905635220352116E-4</v>
      </c>
      <c r="N2250">
        <v>5.1278124020055549E-2</v>
      </c>
      <c r="O2250">
        <v>7.5300047385594643E-3</v>
      </c>
      <c r="P2250">
        <v>1.6090874625334692E-2</v>
      </c>
      <c r="Q2250">
        <v>4.1644049610997782E-4</v>
      </c>
      <c r="R2250">
        <v>6.3716535848129009E-4</v>
      </c>
      <c r="S2250">
        <v>5.8214959802775683E-2</v>
      </c>
      <c r="T2250">
        <v>1.0652628370857873</v>
      </c>
      <c r="U2250">
        <v>0</v>
      </c>
      <c r="V2250">
        <v>9.7365620893351199E-2</v>
      </c>
      <c r="W2250">
        <v>3.4616547902486132E-2</v>
      </c>
      <c r="X2250">
        <v>6.9461057270808696E-3</v>
      </c>
      <c r="Y2250">
        <v>1.7341540642820982E-3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F47" zoomScale="85" zoomScaleNormal="85" workbookViewId="0">
      <selection activeCell="Q65" sqref="Q65:Q113"/>
    </sheetView>
  </sheetViews>
  <sheetFormatPr defaultColWidth="11" defaultRowHeight="12.5" x14ac:dyDescent="0.25"/>
  <cols>
    <col min="1" max="1" width="27.26953125" style="53" customWidth="1"/>
    <col min="2" max="2" width="28.7265625" style="53" customWidth="1"/>
    <col min="3" max="3" width="25.26953125" style="53" customWidth="1"/>
    <col min="4" max="4" width="18.7265625" style="53" customWidth="1"/>
    <col min="5" max="5" width="49.726562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6.7265625" style="53" customWidth="1"/>
    <col min="30" max="30" width="14.81640625" style="53" customWidth="1"/>
    <col min="31" max="31" width="15.453125" style="53" customWidth="1"/>
    <col min="32" max="32" width="11" style="53"/>
    <col min="33" max="33" width="14.81640625" style="53" customWidth="1"/>
    <col min="34" max="16384" width="11" style="53"/>
  </cols>
  <sheetData>
    <row r="1" spans="1:23" ht="15" customHeight="1" thickBot="1" x14ac:dyDescent="0.3">
      <c r="D1" s="41"/>
    </row>
    <row r="2" spans="1:23" ht="15" customHeight="1" thickTop="1" x14ac:dyDescent="0.3">
      <c r="A2" s="590" t="s">
        <v>493</v>
      </c>
      <c r="B2" s="584"/>
      <c r="C2" s="585"/>
      <c r="D2" s="41"/>
    </row>
    <row r="3" spans="1:23" ht="15" customHeight="1" x14ac:dyDescent="0.25">
      <c r="A3" s="591" t="s">
        <v>494</v>
      </c>
      <c r="B3" s="586"/>
      <c r="C3" s="587"/>
      <c r="E3" s="148"/>
      <c r="F3" s="40"/>
      <c r="G3" s="41"/>
    </row>
    <row r="4" spans="1:23" ht="30.75" customHeight="1" x14ac:dyDescent="0.25">
      <c r="A4" s="591" t="s">
        <v>495</v>
      </c>
      <c r="B4" s="586"/>
      <c r="C4" s="587"/>
      <c r="T4" s="151"/>
      <c r="U4" s="134"/>
      <c r="V4" s="134"/>
      <c r="W4" s="134"/>
    </row>
    <row r="5" spans="1:23" ht="26.25" customHeight="1" x14ac:dyDescent="0.25">
      <c r="A5" s="591" t="s">
        <v>79</v>
      </c>
      <c r="B5" s="586"/>
      <c r="C5" s="587"/>
      <c r="T5" s="151"/>
      <c r="U5" s="134"/>
      <c r="V5" s="134"/>
      <c r="W5" s="134"/>
    </row>
    <row r="6" spans="1:23" ht="15" customHeight="1" thickBot="1" x14ac:dyDescent="0.3">
      <c r="A6" s="592" t="s">
        <v>496</v>
      </c>
      <c r="B6" s="588"/>
      <c r="C6" s="589"/>
      <c r="T6" s="151"/>
      <c r="U6" s="134"/>
      <c r="V6" s="134"/>
      <c r="W6" s="134"/>
    </row>
    <row r="7" spans="1:23" ht="15" customHeight="1" thickTop="1" x14ac:dyDescent="0.25">
      <c r="T7" s="151"/>
      <c r="U7" s="134"/>
      <c r="V7" s="134"/>
      <c r="W7" s="134"/>
    </row>
    <row r="8" spans="1:23" ht="15" customHeight="1" x14ac:dyDescent="0.25">
      <c r="T8" s="151"/>
      <c r="U8" s="134"/>
      <c r="V8" s="134"/>
      <c r="W8" s="134"/>
    </row>
    <row r="9" spans="1:23" ht="15" customHeight="1" x14ac:dyDescent="0.25">
      <c r="T9" s="151"/>
      <c r="U9" s="134"/>
      <c r="V9" s="134"/>
      <c r="W9" s="134"/>
    </row>
    <row r="10" spans="1:23" ht="15" customHeight="1" x14ac:dyDescent="0.25">
      <c r="T10" s="151"/>
      <c r="U10" s="134"/>
      <c r="V10" s="134"/>
      <c r="W10" s="134"/>
    </row>
    <row r="11" spans="1:23" ht="15" customHeight="1" x14ac:dyDescent="0.25">
      <c r="T11" s="151"/>
      <c r="U11" s="134"/>
      <c r="V11" s="134"/>
      <c r="W11" s="134"/>
    </row>
    <row r="12" spans="1:23" ht="29.25" customHeight="1" x14ac:dyDescent="0.25">
      <c r="T12" s="151"/>
      <c r="U12" s="134"/>
      <c r="V12" s="134"/>
      <c r="W12" s="134"/>
    </row>
    <row r="13" spans="1:23" ht="15" customHeight="1" x14ac:dyDescent="0.35">
      <c r="A13" s="137"/>
      <c r="B13" s="147"/>
      <c r="C13" s="147"/>
      <c r="D13" s="147"/>
      <c r="E13" s="147"/>
      <c r="F13" s="134"/>
      <c r="G13" s="40"/>
      <c r="H13" s="41"/>
    </row>
    <row r="14" spans="1:23" ht="15" customHeight="1" thickBot="1" x14ac:dyDescent="0.45">
      <c r="A14" s="133"/>
    </row>
    <row r="15" spans="1:23" ht="29.25" customHeight="1" thickTop="1" thickBot="1" x14ac:dyDescent="0.4">
      <c r="A15" s="155" t="s">
        <v>89</v>
      </c>
      <c r="B15" s="150"/>
      <c r="D15" s="1642" t="s">
        <v>65</v>
      </c>
      <c r="E15" s="1643"/>
    </row>
    <row r="16" spans="1:23" ht="39.5" thickTop="1" x14ac:dyDescent="0.3">
      <c r="A16" s="156" t="s">
        <v>90</v>
      </c>
      <c r="B16" s="157"/>
      <c r="D16" s="317" t="str">
        <f>"Hydrogen Cost (Year "&amp;TEXT(ref_year,"0")&amp;" Real $/kg)"</f>
        <v>Hydrogen Cost (Year 2016 Real $/kg)</v>
      </c>
      <c r="E16" s="1214">
        <f ca="1">H2_price_nominal/INFLATION_FACTOR</f>
        <v>1.3158315472358177</v>
      </c>
    </row>
    <row r="17" spans="1:10" ht="37.5" x14ac:dyDescent="0.25">
      <c r="A17" s="158" t="s">
        <v>91</v>
      </c>
      <c r="B17" s="159">
        <f ca="1">output_kgyear</f>
        <v>124628629.5</v>
      </c>
      <c r="D17" s="138" t="s">
        <v>935</v>
      </c>
      <c r="E17" s="1085">
        <f ca="1">+SUM(X57:AB57)/AC57*(1+inflation_rate)^construct</f>
        <v>2.0671915002238399</v>
      </c>
    </row>
    <row r="18" spans="1:10" ht="25" x14ac:dyDescent="0.25">
      <c r="A18" s="158" t="s">
        <v>92</v>
      </c>
      <c r="B18" s="159">
        <f ca="1">B17*H2_LHV_MJ_p_kg/1000/mmBTU_to_GJ</f>
        <v>14200769.412962679</v>
      </c>
      <c r="D18" s="139" t="s">
        <v>983</v>
      </c>
      <c r="E18" s="140">
        <f ca="1">((E20+1)/(1+B30))-1</f>
        <v>8.0000000000001847E-2</v>
      </c>
    </row>
    <row r="19" spans="1:10" ht="28.5" customHeight="1" x14ac:dyDescent="0.3">
      <c r="A19" s="158" t="s">
        <v>93</v>
      </c>
      <c r="B19" s="159">
        <f ca="1">B17*H2_LHV_MJ_p_kg</f>
        <v>14981811730.675625</v>
      </c>
      <c r="C19" s="136"/>
      <c r="D19" s="139" t="s">
        <v>991</v>
      </c>
      <c r="E19" s="140">
        <f ca="1">((E21+1)/(1+B30))-1</f>
        <v>9.1874854577058462E-2</v>
      </c>
    </row>
    <row r="20" spans="1:10" ht="15" customHeight="1" x14ac:dyDescent="0.25">
      <c r="A20" s="160" t="s">
        <v>94</v>
      </c>
      <c r="B20" s="159">
        <f ca="1">design_cap</f>
        <v>379387</v>
      </c>
      <c r="D20" s="141" t="s">
        <v>982</v>
      </c>
      <c r="E20" s="142">
        <f ca="1">IRR(AA65:AA113)</f>
        <v>0.10052000000000172</v>
      </c>
    </row>
    <row r="21" spans="1:10" ht="15" customHeight="1" x14ac:dyDescent="0.25">
      <c r="A21" s="160" t="s">
        <v>95</v>
      </c>
      <c r="B21" s="159">
        <f ca="1">B20*365</f>
        <v>138476255</v>
      </c>
      <c r="D21" s="141" t="s">
        <v>990</v>
      </c>
      <c r="E21" s="142">
        <f ca="1">IRR(AC65:AC113)</f>
        <v>0.11262047681402243</v>
      </c>
    </row>
    <row r="22" spans="1:10" ht="15" customHeight="1" x14ac:dyDescent="0.25">
      <c r="A22" s="161" t="s">
        <v>96</v>
      </c>
      <c r="B22" s="162">
        <f ca="1">cap_factor</f>
        <v>0.9</v>
      </c>
      <c r="D22" s="144" t="s">
        <v>66</v>
      </c>
      <c r="E22" s="145">
        <f ca="1">(real_irr*(1+real_irr)^anal_period)/(((1+real_irr)^anal_period)-1)</f>
        <v>8.3860161500585326E-2</v>
      </c>
    </row>
    <row r="23" spans="1:10" ht="15" customHeight="1" x14ac:dyDescent="0.25">
      <c r="A23" s="160"/>
      <c r="B23" s="163"/>
      <c r="D23" s="144" t="s">
        <v>76</v>
      </c>
      <c r="E23" s="145">
        <f ca="1">(nominal_irr*(1+nominal_irr)^anal_period)/(((1+nominal_irr)^anal_period)-1)</f>
        <v>0.10274768859314053</v>
      </c>
    </row>
    <row r="24" spans="1:10" ht="24.75" customHeight="1" x14ac:dyDescent="0.3">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5">
      <c r="A25" s="139" t="s">
        <v>98</v>
      </c>
      <c r="B25" s="164">
        <f>startup_year</f>
        <v>2040</v>
      </c>
      <c r="D25" s="144" t="s">
        <v>78</v>
      </c>
      <c r="E25" s="145">
        <f ca="1">(E23*(1-total_tax_rate*INDEX(Depreciation!B12:H37,MATCH("NPV - Nominal IRR",Depreciation!B12:B37,0),MATCH(depr_length,recovery_period,0))))/(1-total_tax_rate)</f>
        <v>0.12265813940348715</v>
      </c>
    </row>
    <row r="26" spans="1:10" ht="15" customHeight="1" thickBot="1" x14ac:dyDescent="0.3">
      <c r="A26" s="160" t="s">
        <v>99</v>
      </c>
      <c r="B26" s="154">
        <f ca="1">real_irr</f>
        <v>0.08</v>
      </c>
      <c r="C26" s="165"/>
      <c r="D26" s="146" t="s">
        <v>249</v>
      </c>
      <c r="E26" s="1084">
        <f ca="1">NPV(nominal_irr,AA65:AA113)</f>
        <v>1.7183245081931535E-6</v>
      </c>
    </row>
    <row r="27" spans="1:10" ht="15" customHeight="1" thickTop="1" x14ac:dyDescent="0.25">
      <c r="A27" s="139" t="s">
        <v>988</v>
      </c>
      <c r="B27" s="154">
        <f ca="1">((1+B26)*(1+B30))-1</f>
        <v>0.10051999999999994</v>
      </c>
      <c r="C27" s="165"/>
      <c r="D27" s="166"/>
    </row>
    <row r="28" spans="1:10" ht="15" customHeight="1" x14ac:dyDescent="0.25">
      <c r="A28" s="160" t="s">
        <v>100</v>
      </c>
      <c r="B28" s="164">
        <f>anal_period</f>
        <v>40</v>
      </c>
      <c r="C28" s="165"/>
      <c r="D28" s="166"/>
      <c r="F28" s="166"/>
    </row>
    <row r="29" spans="1:10" ht="15" customHeight="1" x14ac:dyDescent="0.25">
      <c r="A29" s="160" t="s">
        <v>101</v>
      </c>
      <c r="B29" s="164">
        <f>plant_life</f>
        <v>40</v>
      </c>
      <c r="C29" s="165"/>
      <c r="D29" s="166"/>
    </row>
    <row r="30" spans="1:10" ht="15" customHeight="1" x14ac:dyDescent="0.25">
      <c r="A30" s="160" t="s">
        <v>102</v>
      </c>
      <c r="B30" s="154">
        <f>inflation_rate</f>
        <v>1.9E-2</v>
      </c>
      <c r="F30" s="1083"/>
      <c r="G30" s="1082"/>
      <c r="H30" s="1082"/>
      <c r="I30" s="1082"/>
      <c r="J30" s="1082"/>
    </row>
    <row r="31" spans="1:10" ht="15" customHeight="1" x14ac:dyDescent="0.25">
      <c r="A31" s="160" t="s">
        <v>103</v>
      </c>
      <c r="B31" s="167">
        <f>100%-equity</f>
        <v>0.6</v>
      </c>
    </row>
    <row r="32" spans="1:10" ht="15" customHeight="1" x14ac:dyDescent="0.25">
      <c r="A32" s="139" t="s">
        <v>104</v>
      </c>
      <c r="B32" s="168">
        <f>equity</f>
        <v>0.4</v>
      </c>
    </row>
    <row r="33" spans="1:12" ht="15" customHeight="1" x14ac:dyDescent="0.25">
      <c r="A33" s="139" t="s">
        <v>105</v>
      </c>
      <c r="B33" s="154">
        <f>total_tax_rate</f>
        <v>0.25739999999999996</v>
      </c>
    </row>
    <row r="34" spans="1:12" ht="15" customHeight="1" x14ac:dyDescent="0.25">
      <c r="A34" s="139"/>
      <c r="B34" s="169"/>
    </row>
    <row r="35" spans="1:12" ht="28.5" customHeight="1" x14ac:dyDescent="0.3">
      <c r="A35" s="170" t="s">
        <v>106</v>
      </c>
      <c r="B35" s="171"/>
    </row>
    <row r="36" spans="1:12" ht="15" customHeight="1" x14ac:dyDescent="0.25">
      <c r="A36" s="160" t="s">
        <v>107</v>
      </c>
      <c r="B36" s="164">
        <f>debt_period</f>
        <v>0</v>
      </c>
    </row>
    <row r="37" spans="1:12" ht="15" customHeight="1" x14ac:dyDescent="0.25">
      <c r="A37" s="160" t="s">
        <v>108</v>
      </c>
      <c r="B37" s="172">
        <f>debt_interest</f>
        <v>3.6999999999999998E-2</v>
      </c>
      <c r="K37" s="1082"/>
    </row>
    <row r="38" spans="1:12" ht="15" customHeight="1" x14ac:dyDescent="0.25">
      <c r="A38" s="139"/>
      <c r="B38" s="157"/>
      <c r="K38" s="1082"/>
    </row>
    <row r="39" spans="1:12" ht="28.5" customHeight="1" x14ac:dyDescent="0.3">
      <c r="A39" s="170" t="s">
        <v>109</v>
      </c>
      <c r="B39" s="157"/>
      <c r="F39" s="1082"/>
      <c r="G39" s="1082"/>
      <c r="H39" s="1082"/>
      <c r="I39" s="1082"/>
      <c r="J39" s="1082"/>
      <c r="K39" s="1082"/>
      <c r="L39" s="1082"/>
    </row>
    <row r="40" spans="1:12" ht="15" customHeight="1" x14ac:dyDescent="0.25">
      <c r="A40" s="139" t="s">
        <v>110</v>
      </c>
      <c r="B40" s="164">
        <f>construct</f>
        <v>3</v>
      </c>
      <c r="G40" s="1082"/>
      <c r="H40" s="1082"/>
    </row>
    <row r="41" spans="1:12" ht="15" customHeight="1" x14ac:dyDescent="0.25">
      <c r="A41" s="139" t="s">
        <v>111</v>
      </c>
      <c r="B41" s="162">
        <f>start_time</f>
        <v>1</v>
      </c>
    </row>
    <row r="42" spans="1:12" ht="15" customHeight="1" x14ac:dyDescent="0.25">
      <c r="A42" s="158" t="s">
        <v>112</v>
      </c>
      <c r="B42" s="167">
        <f>percnt_revs</f>
        <v>0.5</v>
      </c>
    </row>
    <row r="43" spans="1:12" ht="15" customHeight="1" x14ac:dyDescent="0.25">
      <c r="A43" s="158" t="s">
        <v>113</v>
      </c>
      <c r="B43" s="167">
        <f>percnt_var</f>
        <v>0.75</v>
      </c>
    </row>
    <row r="44" spans="1:12" ht="15" customHeight="1" x14ac:dyDescent="0.25">
      <c r="A44" s="158" t="s">
        <v>114</v>
      </c>
      <c r="B44" s="167">
        <f>percnt_fixed</f>
        <v>0.75</v>
      </c>
    </row>
    <row r="45" spans="1:12" ht="15" customHeight="1" x14ac:dyDescent="0.25">
      <c r="A45" s="139"/>
      <c r="B45" s="157"/>
    </row>
    <row r="46" spans="1:12" ht="28.5" customHeight="1" x14ac:dyDescent="0.3">
      <c r="A46" s="170" t="s">
        <v>115</v>
      </c>
      <c r="B46" s="157"/>
      <c r="F46" s="173"/>
    </row>
    <row r="47" spans="1:12" ht="15" customHeight="1" x14ac:dyDescent="0.25">
      <c r="A47" s="139" t="s">
        <v>389</v>
      </c>
      <c r="B47" s="174" t="str">
        <f>depr_type</f>
        <v>MACRS</v>
      </c>
      <c r="F47" s="173"/>
    </row>
    <row r="48" spans="1:12" ht="15" customHeight="1" x14ac:dyDescent="0.25">
      <c r="A48" s="139" t="s">
        <v>53</v>
      </c>
      <c r="B48" s="164">
        <f>depr_length</f>
        <v>20</v>
      </c>
      <c r="F48" s="173"/>
    </row>
    <row r="49" spans="1:32" ht="15" customHeight="1" x14ac:dyDescent="0.25">
      <c r="A49" s="139"/>
      <c r="B49" s="157"/>
      <c r="F49" s="173"/>
    </row>
    <row r="50" spans="1:32" ht="28.5" customHeight="1" x14ac:dyDescent="0.3">
      <c r="A50" s="170" t="s">
        <v>116</v>
      </c>
      <c r="B50" s="157"/>
    </row>
    <row r="51" spans="1:32" ht="30.75" customHeight="1" x14ac:dyDescent="0.25">
      <c r="A51" s="138" t="s">
        <v>979</v>
      </c>
      <c r="B51" s="175">
        <f ca="1">(total_cap-non_dep_cap)*INFLATION_FACTOR</f>
        <v>292147173.59329897</v>
      </c>
      <c r="F51" s="173"/>
    </row>
    <row r="52" spans="1:32" ht="30" customHeight="1" thickBot="1" x14ac:dyDescent="0.3">
      <c r="A52" s="138" t="s">
        <v>981</v>
      </c>
      <c r="B52" s="175">
        <f ca="1">non_dep_cap*INFLATION_FACTOR</f>
        <v>864627.27220309037</v>
      </c>
      <c r="F52" s="173"/>
    </row>
    <row r="53" spans="1:32" ht="15" customHeight="1" thickBot="1" x14ac:dyDescent="0.4">
      <c r="A53" s="138" t="s">
        <v>117</v>
      </c>
      <c r="B53" s="175">
        <f ca="1">SUM(B51:B52)</f>
        <v>293011800.86550206</v>
      </c>
      <c r="F53" s="173"/>
      <c r="W53" s="1644" t="s">
        <v>1173</v>
      </c>
      <c r="X53" s="1645"/>
      <c r="Y53" s="1133"/>
      <c r="Z53" s="1133"/>
      <c r="AA53" s="1133"/>
      <c r="AB53" s="1133"/>
      <c r="AC53" s="1134"/>
    </row>
    <row r="54" spans="1:32" ht="15" customHeight="1" thickTop="1" x14ac:dyDescent="0.3">
      <c r="A54" s="138" t="s">
        <v>984</v>
      </c>
      <c r="B54" s="175">
        <f ca="1">decom_percent*depr_cap_infl</f>
        <v>29214717.359329898</v>
      </c>
      <c r="F54" s="173"/>
      <c r="W54" s="1135"/>
      <c r="X54" s="1128" t="s">
        <v>83</v>
      </c>
      <c r="Y54" s="1129" t="s">
        <v>1123</v>
      </c>
      <c r="Z54" s="1129" t="s">
        <v>1124</v>
      </c>
      <c r="AA54" s="1128" t="s">
        <v>1125</v>
      </c>
      <c r="AB54" s="1129" t="s">
        <v>1130</v>
      </c>
      <c r="AC54" s="1136" t="s">
        <v>1126</v>
      </c>
    </row>
    <row r="55" spans="1:32" ht="15" customHeight="1" x14ac:dyDescent="0.25">
      <c r="A55" s="138" t="s">
        <v>993</v>
      </c>
      <c r="B55" s="175">
        <f ca="1">salvage_perct*B53</f>
        <v>29301180.086550206</v>
      </c>
      <c r="F55" s="173"/>
      <c r="W55" s="1137" t="s">
        <v>1121</v>
      </c>
      <c r="X55" s="1130">
        <f ca="1">-SUM(H116:K116)</f>
        <v>144954728.2130954</v>
      </c>
      <c r="Y55" s="1130">
        <f ca="1">-U116</f>
        <v>108525465.79088719</v>
      </c>
      <c r="Z55" s="1130">
        <f ca="1">-Z116</f>
        <v>2965629.7429944077</v>
      </c>
      <c r="AA55" s="1130">
        <f ca="1">-SUM(L116:S116)</f>
        <v>2231055023.2701507</v>
      </c>
      <c r="AB55" s="1130">
        <f ca="1">+AF116</f>
        <v>0</v>
      </c>
      <c r="AC55" s="1138">
        <f ca="1">+AE116</f>
        <v>1224665447.1183949</v>
      </c>
    </row>
    <row r="56" spans="1:32" ht="15" customHeight="1" x14ac:dyDescent="0.25">
      <c r="A56" s="160" t="s">
        <v>985</v>
      </c>
      <c r="B56" s="60">
        <f ca="1">fixed*INFLATION_FACTOR</f>
        <v>11624521.223124225</v>
      </c>
      <c r="F56" s="173"/>
      <c r="W56" s="1137" t="s">
        <v>1131</v>
      </c>
      <c r="X56" s="1131">
        <v>1</v>
      </c>
      <c r="Y56" s="1131">
        <f>-total_tax_rate</f>
        <v>-0.25739999999999996</v>
      </c>
      <c r="Z56" s="1131">
        <v>1</v>
      </c>
      <c r="AA56" s="1131">
        <f>1-total_tax_rate</f>
        <v>0.74260000000000004</v>
      </c>
      <c r="AB56" s="1131">
        <v>-1</v>
      </c>
      <c r="AC56" s="1139">
        <f>1-total_tax_rate</f>
        <v>0.74260000000000004</v>
      </c>
    </row>
    <row r="57" spans="1:32" ht="15" customHeight="1" x14ac:dyDescent="0.25">
      <c r="A57" s="160" t="s">
        <v>986</v>
      </c>
      <c r="B57" s="60">
        <f ca="1">total_other_raw*INFLATION_FACTOR</f>
        <v>0</v>
      </c>
      <c r="F57" s="173"/>
      <c r="W57" s="1137" t="s">
        <v>1122</v>
      </c>
      <c r="X57" s="1132">
        <f t="shared" ref="X57:Z57" ca="1" si="0">+X55*X56</f>
        <v>144954728.2130954</v>
      </c>
      <c r="Y57" s="1132">
        <f t="shared" ca="1" si="0"/>
        <v>-27934454.894574359</v>
      </c>
      <c r="Z57" s="1132">
        <f t="shared" ca="1" si="0"/>
        <v>2965629.7429944077</v>
      </c>
      <c r="AA57" s="1132">
        <f ca="1">+AA55*AA56</f>
        <v>1656781460.2804139</v>
      </c>
      <c r="AB57" s="1132">
        <f ca="1">+AB55*AB56</f>
        <v>0</v>
      </c>
      <c r="AC57" s="1140">
        <f ca="1">+AC55*AC56</f>
        <v>909436561.03012002</v>
      </c>
    </row>
    <row r="58" spans="1:32" ht="45.75" customHeight="1" thickBot="1" x14ac:dyDescent="0.3">
      <c r="A58" s="176" t="s">
        <v>987</v>
      </c>
      <c r="B58" s="62">
        <f ca="1">(var_misc+royalties+operator_profit+CO2_OandMcost+waste_treat+solidwaste_treat)*INFLATION_FACTOR</f>
        <v>4756270.2261542184</v>
      </c>
      <c r="F58" s="173"/>
      <c r="W58" s="1141"/>
      <c r="X58" s="1142"/>
      <c r="Y58" s="1142"/>
      <c r="Z58" s="1142"/>
      <c r="AA58" s="1142"/>
      <c r="AB58" s="1142"/>
      <c r="AC58" s="1143"/>
    </row>
    <row r="59" spans="1:32" ht="15" customHeight="1" thickTop="1" x14ac:dyDescent="0.25">
      <c r="F59" s="173"/>
      <c r="W59" s="1144" t="s">
        <v>1120</v>
      </c>
      <c r="X59" s="1085">
        <f ca="1">+(1+real_irr)*(1+inflation_rate)-1</f>
        <v>0.10051999999999994</v>
      </c>
      <c r="Y59" s="1142"/>
      <c r="Z59" s="1142"/>
      <c r="AA59" s="1142"/>
      <c r="AB59" s="1142"/>
      <c r="AC59" s="1143"/>
    </row>
    <row r="60" spans="1:32" ht="15" customHeight="1" thickBot="1" x14ac:dyDescent="0.3">
      <c r="F60" s="173"/>
      <c r="W60" s="1145" t="str">
        <f>+D16</f>
        <v>Hydrogen Cost (Year 2016 Real $/kg)</v>
      </c>
      <c r="X60" s="1146">
        <f ca="1">+SUM(X57:AB57)/AC57*(1+inflation_rate)^construct/INFLATION_FACTOR</f>
        <v>1.3158315472358177</v>
      </c>
      <c r="Y60" s="1147"/>
      <c r="Z60" s="1147"/>
      <c r="AA60" s="1147"/>
      <c r="AB60" s="1147"/>
      <c r="AC60" s="1148"/>
    </row>
    <row r="61" spans="1:32" ht="39.75" customHeight="1" x14ac:dyDescent="0.25">
      <c r="F61" s="173"/>
    </row>
    <row r="62" spans="1:32" ht="17.25" customHeight="1" thickBot="1" x14ac:dyDescent="0.3">
      <c r="F62" s="173"/>
    </row>
    <row r="63" spans="1:32" ht="29.25" customHeight="1" thickTop="1" thickBot="1" x14ac:dyDescent="0.4">
      <c r="A63" s="49" t="s">
        <v>118</v>
      </c>
      <c r="B63" s="177"/>
      <c r="C63" s="177"/>
      <c r="D63" s="177"/>
      <c r="E63" s="177"/>
      <c r="F63" s="177"/>
      <c r="G63" s="177"/>
      <c r="H63" s="1172"/>
      <c r="I63" s="1172"/>
      <c r="J63" s="1172"/>
      <c r="K63" s="1172"/>
      <c r="L63" s="1172"/>
      <c r="M63" s="1172"/>
      <c r="N63" s="1172"/>
      <c r="O63" s="1172"/>
      <c r="P63" s="1172"/>
      <c r="Q63" s="1172"/>
      <c r="R63" s="1172"/>
      <c r="S63" s="1172"/>
      <c r="T63" s="1172"/>
      <c r="U63" s="1172"/>
      <c r="V63" s="1172"/>
      <c r="W63" s="1172"/>
      <c r="X63" s="1172"/>
      <c r="Y63" s="1172"/>
      <c r="Z63" s="1172"/>
      <c r="AA63" s="1172"/>
      <c r="AB63" s="1172"/>
      <c r="AC63" s="1173"/>
    </row>
    <row r="64" spans="1:32" ht="66" thickTop="1" thickBot="1" x14ac:dyDescent="0.35">
      <c r="A64" s="1149" t="s">
        <v>1128</v>
      </c>
      <c r="B64" s="1150" t="s">
        <v>40</v>
      </c>
      <c r="C64" s="1150" t="s">
        <v>56</v>
      </c>
      <c r="D64" s="1150" t="s">
        <v>119</v>
      </c>
      <c r="E64" s="1151" t="s">
        <v>120</v>
      </c>
      <c r="F64" s="1151" t="s">
        <v>1133</v>
      </c>
      <c r="G64" s="1152" t="s">
        <v>121</v>
      </c>
      <c r="H64" s="1174" t="s">
        <v>122</v>
      </c>
      <c r="I64" s="1175" t="s">
        <v>123</v>
      </c>
      <c r="J64" s="1175" t="s">
        <v>1127</v>
      </c>
      <c r="K64" s="1175" t="s">
        <v>135</v>
      </c>
      <c r="L64" s="1175" t="s">
        <v>993</v>
      </c>
      <c r="M64" s="1175" t="s">
        <v>84</v>
      </c>
      <c r="N64" s="1175" t="s">
        <v>136</v>
      </c>
      <c r="O64" s="1175" t="s">
        <v>1132</v>
      </c>
      <c r="P64" s="1175" t="s">
        <v>137</v>
      </c>
      <c r="Q64" s="1175" t="s">
        <v>1134</v>
      </c>
      <c r="R64" s="1175" t="s">
        <v>138</v>
      </c>
      <c r="S64" s="1175" t="s">
        <v>139</v>
      </c>
      <c r="T64" s="1175" t="s">
        <v>140</v>
      </c>
      <c r="U64" s="1175" t="s">
        <v>60</v>
      </c>
      <c r="V64" s="1175" t="s">
        <v>141</v>
      </c>
      <c r="W64" s="1175" t="s">
        <v>142</v>
      </c>
      <c r="X64" s="1175" t="s">
        <v>144</v>
      </c>
      <c r="Y64" s="1175" t="s">
        <v>145</v>
      </c>
      <c r="Z64" s="1175" t="s">
        <v>45</v>
      </c>
      <c r="AA64" s="1176" t="s">
        <v>146</v>
      </c>
      <c r="AB64" s="1176" t="s">
        <v>147</v>
      </c>
      <c r="AC64" s="1154" t="s">
        <v>148</v>
      </c>
      <c r="AD64" s="178"/>
      <c r="AE64" s="1153" t="s">
        <v>1119</v>
      </c>
      <c r="AF64" s="1154" t="s">
        <v>1129</v>
      </c>
    </row>
    <row r="65" spans="1:32" ht="13" thickTop="1" x14ac:dyDescent="0.25">
      <c r="A65" s="179">
        <f>startup_year-construct</f>
        <v>2037</v>
      </c>
      <c r="B65" s="180">
        <v>1</v>
      </c>
      <c r="C65" s="180">
        <f>IF(construct=0,1,-construct)</f>
        <v>-3</v>
      </c>
      <c r="D65" s="180">
        <f t="shared" ref="D65:D96" si="1">IF(C65="","",IF(C65&lt;=plant_life,C65,IF(D64=plant_life,1,D64+1)))</f>
        <v>-3</v>
      </c>
      <c r="E65" s="181">
        <f t="shared" ref="E65:E96" si="2">IF(C65="","",(1+inflation_rate)^(A65-$B$25))</f>
        <v>0.94509931410277337</v>
      </c>
      <c r="F65" s="182">
        <f t="shared" ref="F65:F96" si="3">IF(C65="","",IF(C65&lt;0,0,IF(AND(C65=1,start_time&lt;1),E65*(H2_price_nominal*output_kgyear*start_time*percnt_revs+H2_price_nominal*output_kgyear*(1-start_time)),IF(C65&lt;=start_time,H2_price_nominal*E65*output_kgyear*percnt_revs,H2_price_nominal*output_kgyear*E65))))</f>
        <v>0</v>
      </c>
      <c r="G65" s="1168">
        <f ca="1">-$B$31*depr_cap_infl*E65</f>
        <v>-165664856.02805442</v>
      </c>
      <c r="H65" s="1177">
        <f ca="1">IF(C65&lt;0,-E65*equity*depr_cap_infl*percent_cap1,IF(C65=1,-E65*equity*depr_cap_infl,0))</f>
        <v>-8835458.9881629031</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-817158.64191369258</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-6129599.6730380133</v>
      </c>
      <c r="T65" s="183">
        <f t="shared" ref="T65:T96" ca="1" si="12">IF(C65="","",F65+SUM(L65:S65))</f>
        <v>-6129599.6730380133</v>
      </c>
      <c r="U65" s="183">
        <f>IF(C65="","",IF(C65&lt;-1,0,IF(C65=anal_period,-LOOKUP(C65,depr_yr,depr_cost)-Depreciation!$C$141-Depreciation!$B$166,-LOOKUP(C65,depr_yr,depr_cost))))</f>
        <v>0</v>
      </c>
      <c r="V65" s="183">
        <f t="shared" ref="V65:V96" ca="1" si="13">IF(C65="","",SUM(T65:U65))</f>
        <v>-6129599.6730380133</v>
      </c>
      <c r="W65" s="184">
        <f t="shared" ref="W65:W96" si="14">IF(C65="","",$B$33)</f>
        <v>0.25739999999999996</v>
      </c>
      <c r="X65" s="183">
        <f t="shared" ref="X65:X96" ca="1" si="15">IF(C65="","",tax_credit-(V65*W65 +Upstream_CO2_taxpYear + Proc_CO2_taxpYear))</f>
        <v>1577758.9558399844</v>
      </c>
      <c r="Y65" s="183">
        <f t="shared" ref="Y65:Y96" ca="1" si="16">IF(C65="","",SUM(T65,X65))</f>
        <v>-4551840.7171980292</v>
      </c>
      <c r="Z65" s="183">
        <f>IF(C65="","",IF($B$31=0,"",-'Debt Financing Calculations'!F14))</f>
        <v>0</v>
      </c>
      <c r="AA65" s="183">
        <f t="shared" ref="AA65:AA96" ca="1" si="17">IF(C65="","",SUM(H65,I65,J65,K65,T65,X65,Z65))</f>
        <v>-14204458.347274626</v>
      </c>
      <c r="AB65" s="183">
        <f ca="1">AA65</f>
        <v>-14204458.347274626</v>
      </c>
      <c r="AC65" s="1155">
        <f t="shared" ref="AC65:AC96" ca="1" si="18">IF(C65="","",SUM(H65,I65,J65,K65,T65,Z65))</f>
        <v>-15782217.30311461</v>
      </c>
      <c r="AD65" s="134"/>
      <c r="AE65" s="1159">
        <f t="shared" ref="AE65:AE96" si="19">IF(C65="","",IF(C65&lt;0,0,IF(AND(C65=1,start_time&lt;1),(output_kgyear*start_time*percnt_revs+output_kgyear*(1-start_time)),IF(C65&lt;=start_time,output_kgyear*percnt_revs,output_kgyear))))</f>
        <v>0</v>
      </c>
      <c r="AF65" s="1155">
        <f t="shared" ref="AF65:AF96" si="20">IF(C65="","",tax_credit)</f>
        <v>0</v>
      </c>
    </row>
    <row r="66" spans="1:32" x14ac:dyDescent="0.25">
      <c r="A66" s="58">
        <f t="shared" ref="A66:A113" si="21">IF(B66&lt;&gt;"",A65+1,"")</f>
        <v>2038</v>
      </c>
      <c r="B66" s="185">
        <f>IF(MAX($B$65:B65)&lt;(construct+anal_period),B65+1,"")</f>
        <v>2</v>
      </c>
      <c r="C66" s="185">
        <f t="shared" ref="C66:C113" si="22">IF(B66="","",IF(C65=-1,1,C65+1))</f>
        <v>-2</v>
      </c>
      <c r="D66" s="185">
        <f t="shared" si="1"/>
        <v>-2</v>
      </c>
      <c r="E66" s="186">
        <f t="shared" si="2"/>
        <v>0.96305620107072598</v>
      </c>
      <c r="F66" s="59">
        <f t="shared" si="3"/>
        <v>0</v>
      </c>
      <c r="G66" s="1169"/>
      <c r="H66" s="1178">
        <f ca="1">IF(C66&lt;0,-E66*equity*depr_cap_infl*percent_cap2,0)</f>
        <v>-67524995.31703499</v>
      </c>
      <c r="I66" s="187" t="str">
        <f>IF(OR(C66&lt;0,C66=""),"",-E66*INDEX('Replacement Costs'!$A$16:$H$57,MATCH(C66,'Replacement Costs'!$C$16:$C$57,0),MATCH("Total Yearly Replacement Costs",'Replacement Costs'!$A$16:$H$16,0)))</f>
        <v/>
      </c>
      <c r="J66" s="187">
        <f>IF(AND(C66&gt;=1,C66&lt;anal_period),WorkingCap*SUM(N66:R66)-WorkingCap*SUM(N65:R65),IF(C66&lt;0,0,IF(B66="","",-SUM(J$65:J65))))</f>
        <v>0</v>
      </c>
      <c r="K66" s="187" t="str">
        <f t="shared" si="4"/>
        <v/>
      </c>
      <c r="L66" s="187" t="str">
        <f t="shared" si="5"/>
        <v/>
      </c>
      <c r="M66" s="187" t="str">
        <f t="shared" si="6"/>
        <v/>
      </c>
      <c r="N66" s="187">
        <f t="shared" si="7"/>
        <v>0</v>
      </c>
      <c r="O66" s="187">
        <f t="shared" si="8"/>
        <v>0</v>
      </c>
      <c r="P66" s="187">
        <f t="shared" si="9"/>
        <v>0</v>
      </c>
      <c r="Q66" s="187">
        <f t="shared" si="10"/>
        <v>0</v>
      </c>
      <c r="R66" s="187">
        <f t="shared" si="11"/>
        <v>0</v>
      </c>
      <c r="S66" s="187">
        <f ca="1">IF(B66="","",IF($B$31=0,"",-'Debt Financing Calculations'!E15))</f>
        <v>-6129599.6730380133</v>
      </c>
      <c r="T66" s="187">
        <f t="shared" ca="1" si="12"/>
        <v>-6129599.6730380133</v>
      </c>
      <c r="U66" s="187">
        <f>IF(C66="","",IF(C66&lt;-1,0,IF(C66=anal_period,-LOOKUP(C66,depr_yr,depr_cost)-Depreciation!$C$141-Depreciation!$B$166,-LOOKUP(C66,depr_yr,depr_cost))))</f>
        <v>0</v>
      </c>
      <c r="V66" s="187">
        <f t="shared" ca="1" si="13"/>
        <v>-6129599.6730380133</v>
      </c>
      <c r="W66" s="188">
        <f t="shared" si="14"/>
        <v>0.25739999999999996</v>
      </c>
      <c r="X66" s="187">
        <f t="shared" ca="1" si="15"/>
        <v>1577758.9558399844</v>
      </c>
      <c r="Y66" s="187">
        <f t="shared" ca="1" si="16"/>
        <v>-4551840.7171980292</v>
      </c>
      <c r="Z66" s="187">
        <f>IF(C66="","",IF($B$31=0,"",-'Debt Financing Calculations'!F15))</f>
        <v>0</v>
      </c>
      <c r="AA66" s="187">
        <f t="shared" ca="1" si="17"/>
        <v>-72076836.034233004</v>
      </c>
      <c r="AB66" s="187">
        <f t="shared" ref="AB66:AB113" ca="1" si="23">IF(C66="","",AB65+AA66)</f>
        <v>-86281294.381507635</v>
      </c>
      <c r="AC66" s="1156">
        <f t="shared" ca="1" si="18"/>
        <v>-73654594.990072995</v>
      </c>
      <c r="AD66" s="134"/>
      <c r="AE66" s="1160">
        <f t="shared" si="19"/>
        <v>0</v>
      </c>
      <c r="AF66" s="1156">
        <f t="shared" si="20"/>
        <v>0</v>
      </c>
    </row>
    <row r="67" spans="1:32" x14ac:dyDescent="0.25">
      <c r="A67" s="58">
        <f t="shared" si="21"/>
        <v>2039</v>
      </c>
      <c r="B67" s="185">
        <f>IF(MAX($B$65:B66)&lt;(construct+anal_period),B66+1,"")</f>
        <v>3</v>
      </c>
      <c r="C67" s="185">
        <f t="shared" si="22"/>
        <v>-1</v>
      </c>
      <c r="D67" s="185">
        <f t="shared" si="1"/>
        <v>-1</v>
      </c>
      <c r="E67" s="186">
        <f t="shared" si="2"/>
        <v>0.9813542688910698</v>
      </c>
      <c r="F67" s="59">
        <f t="shared" si="3"/>
        <v>0</v>
      </c>
      <c r="G67" s="1169"/>
      <c r="H67" s="1178">
        <f ca="1">IF(C67&lt;0,-E67*equity*depr_cap_infl*percent_cap3,0)</f>
        <v>-36697584.12163128</v>
      </c>
      <c r="I67" s="187" t="str">
        <f>IF(OR(C67&lt;0,C67=""),"",-E67*INDEX('Replacement Costs'!$A$16:$H$57,MATCH(C67,'Replacement Costs'!$C$16:$C$57,0),MATCH("Total Yearly Replacement Costs",'Replacement Costs'!$A$16:$H$16,0)))</f>
        <v/>
      </c>
      <c r="J67" s="187">
        <f>IF(AND(C67&gt;=1,C67&lt;anal_period),WorkingCap*SUM(N67:R67)-WorkingCap*SUM(N66:R66),IF(C67&lt;0,0,IF(B67="","",-SUM(J$65:J66))))</f>
        <v>0</v>
      </c>
      <c r="K67" s="187" t="str">
        <f t="shared" si="4"/>
        <v/>
      </c>
      <c r="L67" s="187" t="str">
        <f t="shared" si="5"/>
        <v/>
      </c>
      <c r="M67" s="187" t="str">
        <f t="shared" si="6"/>
        <v/>
      </c>
      <c r="N67" s="187">
        <f t="shared" si="7"/>
        <v>0</v>
      </c>
      <c r="O67" s="187">
        <f t="shared" si="8"/>
        <v>0</v>
      </c>
      <c r="P67" s="187">
        <f t="shared" si="9"/>
        <v>0</v>
      </c>
      <c r="Q67" s="187">
        <f t="shared" si="10"/>
        <v>0</v>
      </c>
      <c r="R67" s="187">
        <f t="shared" si="11"/>
        <v>0</v>
      </c>
      <c r="S67" s="187">
        <f ca="1">IF(B67="","",IF($B$31=0,"",-'Debt Financing Calculations'!E16))</f>
        <v>-6129599.6730380133</v>
      </c>
      <c r="T67" s="187">
        <f t="shared" ca="1" si="12"/>
        <v>-6129599.6730380133</v>
      </c>
      <c r="U67" s="187">
        <f>IF(C67="","",IF(C67&lt;-1,0,IF(C67=anal_period,-LOOKUP(C67,depr_yr,depr_cost)-Depreciation!$C$141-Depreciation!$B$166,-LOOKUP(C67,depr_yr,depr_cost))))</f>
        <v>0</v>
      </c>
      <c r="V67" s="187">
        <f t="shared" ca="1" si="13"/>
        <v>-6129599.6730380133</v>
      </c>
      <c r="W67" s="188">
        <f t="shared" si="14"/>
        <v>0.25739999999999996</v>
      </c>
      <c r="X67" s="187">
        <f t="shared" ca="1" si="15"/>
        <v>1577758.9558399844</v>
      </c>
      <c r="Y67" s="187">
        <f t="shared" ca="1" si="16"/>
        <v>-4551840.7171980292</v>
      </c>
      <c r="Z67" s="187">
        <f>IF(C67="","",IF($B$31=0,"",-'Debt Financing Calculations'!F16))</f>
        <v>0</v>
      </c>
      <c r="AA67" s="187">
        <f t="shared" ca="1" si="17"/>
        <v>-41249424.838829309</v>
      </c>
      <c r="AB67" s="187">
        <f t="shared" ca="1" si="23"/>
        <v>-127530719.22033694</v>
      </c>
      <c r="AC67" s="1156">
        <f t="shared" ca="1" si="18"/>
        <v>-42827183.794669293</v>
      </c>
      <c r="AD67" s="134"/>
      <c r="AE67" s="1160">
        <f t="shared" si="19"/>
        <v>0</v>
      </c>
      <c r="AF67" s="1156">
        <f t="shared" si="20"/>
        <v>0</v>
      </c>
    </row>
    <row r="68" spans="1:32" ht="13" x14ac:dyDescent="0.3">
      <c r="A68" s="1090">
        <f t="shared" si="21"/>
        <v>2040</v>
      </c>
      <c r="B68" s="1091">
        <f>IF(MAX($B$65:B67)&lt;(construct+anal_period),B67+1,"")</f>
        <v>4</v>
      </c>
      <c r="C68" s="1091">
        <f t="shared" si="22"/>
        <v>1</v>
      </c>
      <c r="D68" s="1091">
        <f t="shared" si="1"/>
        <v>1</v>
      </c>
      <c r="E68" s="1092">
        <f t="shared" si="2"/>
        <v>1</v>
      </c>
      <c r="F68" s="1093">
        <f t="shared" ca="1" si="3"/>
        <v>128815621.79347305</v>
      </c>
      <c r="G68" s="1170"/>
      <c r="H68" s="1179">
        <f>IF(C68&lt;0,-E68*equity*depr_cap_infl*percent_cap4,0)</f>
        <v>0</v>
      </c>
      <c r="I68" s="1094">
        <f ca="1">IF(OR(C68&lt;0,C68=""),"",-E68*INDEX('Replacement Costs'!$A$16:$H$57,MATCH(C68,'Replacement Costs'!$C$16:$C$57,0),MATCH("Total Yearly Replacement Costs",'Replacement Costs'!$A$16:$H$16,0)))</f>
        <v>-1460735.8679664948</v>
      </c>
      <c r="J68" s="1094">
        <f ca="1">IF(AND(C68&gt;=1,C68&lt;anal_period),WorkingCap*SUM(N68:R68)-WorkingCap*SUM(N67:R67),IF(C68&lt;0,0,IF(B68="","",-SUM(J$65:J67))))</f>
        <v>-23777598.931252372</v>
      </c>
      <c r="K68" s="1094" t="str">
        <f t="shared" si="4"/>
        <v/>
      </c>
      <c r="L68" s="1094" t="str">
        <f t="shared" si="5"/>
        <v/>
      </c>
      <c r="M68" s="1094" t="str">
        <f t="shared" si="6"/>
        <v/>
      </c>
      <c r="N68" s="1094">
        <f t="shared" ca="1" si="7"/>
        <v>-8718390.9173431695</v>
      </c>
      <c r="O68" s="1094">
        <f t="shared" ca="1" si="8"/>
        <v>-135859838.0960815</v>
      </c>
      <c r="P68" s="1094">
        <f t="shared" ca="1" si="9"/>
        <v>0</v>
      </c>
      <c r="Q68" s="1094">
        <f t="shared" ca="1" si="10"/>
        <v>0</v>
      </c>
      <c r="R68" s="1094">
        <f t="shared" ca="1" si="11"/>
        <v>-13939097.19492447</v>
      </c>
      <c r="S68" s="1094">
        <f ca="1">IF(B68="","",IF($B$31=0,"",-'Debt Financing Calculations'!E17))</f>
        <v>-6129599.6730380133</v>
      </c>
      <c r="T68" s="1094">
        <f t="shared" ca="1" si="12"/>
        <v>-35831304.087914094</v>
      </c>
      <c r="U68" s="1094">
        <f ca="1">IF(C68="","",IF(C68&lt;-1,0,IF(C68=anal_period,-LOOKUP(C68,depr_yr,depr_cost)-Depreciation!$C$141-Depreciation!$B$166,-LOOKUP(C68,depr_yr,depr_cost))))</f>
        <v>-10506886.137106877</v>
      </c>
      <c r="V68" s="1094">
        <f t="shared" ca="1" si="13"/>
        <v>-46338190.225020975</v>
      </c>
      <c r="W68" s="1095">
        <f t="shared" si="14"/>
        <v>0.25739999999999996</v>
      </c>
      <c r="X68" s="1094">
        <f t="shared" ca="1" si="15"/>
        <v>11927450.163920397</v>
      </c>
      <c r="Y68" s="1094">
        <f ca="1">IF(C68="","",SUM(T68,X68))</f>
        <v>-23903853.923993699</v>
      </c>
      <c r="Z68" s="1094">
        <f>IF(C68="","",IF($B$31=0,"",-'Debt Financing Calculations'!F17))</f>
        <v>0</v>
      </c>
      <c r="AA68" s="1094">
        <f t="shared" ca="1" si="17"/>
        <v>-49142188.723212563</v>
      </c>
      <c r="AB68" s="1094">
        <f t="shared" ca="1" si="23"/>
        <v>-176672907.94354951</v>
      </c>
      <c r="AC68" s="1157">
        <f t="shared" ca="1" si="18"/>
        <v>-61069638.887132958</v>
      </c>
      <c r="AD68" s="1086"/>
      <c r="AE68" s="1161">
        <f t="shared" ca="1" si="19"/>
        <v>62314314.75</v>
      </c>
      <c r="AF68" s="1157">
        <f t="shared" si="20"/>
        <v>0</v>
      </c>
    </row>
    <row r="69" spans="1:32" x14ac:dyDescent="0.25">
      <c r="A69" s="58">
        <f t="shared" si="21"/>
        <v>2041</v>
      </c>
      <c r="B69" s="185">
        <f>IF(MAX($B$65:B68)&lt;(construct+anal_period),B68+1,"")</f>
        <v>5</v>
      </c>
      <c r="C69" s="185">
        <f t="shared" si="22"/>
        <v>2</v>
      </c>
      <c r="D69" s="185">
        <f t="shared" si="1"/>
        <v>2</v>
      </c>
      <c r="E69" s="186">
        <f t="shared" si="2"/>
        <v>1.0189999999999999</v>
      </c>
      <c r="F69" s="59">
        <f t="shared" ca="1" si="3"/>
        <v>262526237.21509805</v>
      </c>
      <c r="G69" s="1169"/>
      <c r="H69" s="1178">
        <f t="shared" ref="H69:H113" si="24">IF(C69="","",0)</f>
        <v>0</v>
      </c>
      <c r="I69" s="187">
        <f ca="1">IF(OR(C69&lt;0,C69=""),"",-E69*INDEX('Replacement Costs'!$A$16:$H$57,MATCH(C69,'Replacement Costs'!$C$16:$C$57,0),MATCH("Total Yearly Replacement Costs",'Replacement Costs'!$A$16:$H$16,0)))</f>
        <v>-1488489.8494578581</v>
      </c>
      <c r="J69" s="187">
        <f ca="1">IF(AND(C69&gt;=1,C69&lt;anal_period),WorkingCap*SUM(N69:R69)-WorkingCap*SUM(N68:R68),IF(C69&lt;0,0,IF(B69="","",-SUM(J$65:J68))))</f>
        <v>-8546528.575982485</v>
      </c>
      <c r="K69" s="187" t="str">
        <f t="shared" si="4"/>
        <v/>
      </c>
      <c r="L69" s="187" t="str">
        <f t="shared" si="5"/>
        <v/>
      </c>
      <c r="M69" s="187" t="str">
        <f t="shared" si="6"/>
        <v/>
      </c>
      <c r="N69" s="187">
        <f t="shared" ca="1" si="7"/>
        <v>-11845387.126363585</v>
      </c>
      <c r="O69" s="187">
        <f t="shared" ca="1" si="8"/>
        <v>-184737527.81711566</v>
      </c>
      <c r="P69" s="187">
        <f t="shared" ca="1" si="9"/>
        <v>0</v>
      </c>
      <c r="Q69" s="187">
        <f t="shared" ca="1" si="10"/>
        <v>0</v>
      </c>
      <c r="R69" s="187">
        <f t="shared" ca="1" si="11"/>
        <v>-18911268.438086469</v>
      </c>
      <c r="S69" s="187">
        <f ca="1">IF(B69="","",IF($B$31=0,"",-'Debt Financing Calculations'!E18))</f>
        <v>-6129599.6730380133</v>
      </c>
      <c r="T69" s="187">
        <f t="shared" ca="1" si="12"/>
        <v>40902454.160494328</v>
      </c>
      <c r="U69" s="187">
        <f ca="1">IF(C69="","",IF(C69&lt;-1,0,IF(C69=anal_period,-LOOKUP(C69,depr_yr,depr_cost)-Depreciation!$C$141-Depreciation!$B$166,-LOOKUP(C69,depr_yr,depr_cost))))</f>
        <v>-20282274.642361216</v>
      </c>
      <c r="V69" s="187">
        <f t="shared" ca="1" si="13"/>
        <v>20620179.518133111</v>
      </c>
      <c r="W69" s="188">
        <f t="shared" si="14"/>
        <v>0.25739999999999996</v>
      </c>
      <c r="X69" s="187">
        <f t="shared" ca="1" si="15"/>
        <v>-5307634.207967462</v>
      </c>
      <c r="Y69" s="187">
        <f t="shared" ca="1" si="16"/>
        <v>35594819.952526867</v>
      </c>
      <c r="Z69" s="187">
        <f>IF(C69="","",IF($B$31=0,"",-'Debt Financing Calculations'!F18))</f>
        <v>0</v>
      </c>
      <c r="AA69" s="187">
        <f t="shared" ca="1" si="17"/>
        <v>25559801.527086526</v>
      </c>
      <c r="AB69" s="187">
        <f t="shared" ca="1" si="23"/>
        <v>-151113106.41646299</v>
      </c>
      <c r="AC69" s="1156">
        <f t="shared" ca="1" si="18"/>
        <v>30867435.735053986</v>
      </c>
      <c r="AD69" s="134"/>
      <c r="AE69" s="1160">
        <f t="shared" ca="1" si="19"/>
        <v>124628629.5</v>
      </c>
      <c r="AF69" s="1156">
        <f t="shared" si="20"/>
        <v>0</v>
      </c>
    </row>
    <row r="70" spans="1:32" x14ac:dyDescent="0.25">
      <c r="A70" s="58">
        <f t="shared" si="21"/>
        <v>2042</v>
      </c>
      <c r="B70" s="185">
        <f>IF(MAX($B$65:B69)&lt;(construct+anal_period),B69+1,"")</f>
        <v>6</v>
      </c>
      <c r="C70" s="185">
        <f t="shared" si="22"/>
        <v>3</v>
      </c>
      <c r="D70" s="185">
        <f t="shared" si="1"/>
        <v>3</v>
      </c>
      <c r="E70" s="186">
        <f t="shared" si="2"/>
        <v>1.0383609999999999</v>
      </c>
      <c r="F70" s="59">
        <f t="shared" ca="1" si="3"/>
        <v>267514235.7221849</v>
      </c>
      <c r="G70" s="1169"/>
      <c r="H70" s="1178">
        <f t="shared" si="24"/>
        <v>0</v>
      </c>
      <c r="I70" s="187">
        <f ca="1">IF(OR(C70&lt;0,C70=""),"",-E70*INDEX('Replacement Costs'!$A$16:$H$57,MATCH(C70,'Replacement Costs'!$C$16:$C$57,0),MATCH("Total Yearly Replacement Costs",'Replacement Costs'!$A$16:$H$16,0)))</f>
        <v>-1516771.1565975572</v>
      </c>
      <c r="J70" s="187">
        <f ca="1">IF(AND(C70&gt;=1,C70&lt;anal_period),WorkingCap*SUM(N70:R70)-WorkingCap*SUM(N69:R69),IF(C70&lt;0,0,IF(B70="","",-SUM(J$65:J69))))</f>
        <v>-887681.09357916191</v>
      </c>
      <c r="K70" s="187" t="str">
        <f t="shared" si="4"/>
        <v/>
      </c>
      <c r="L70" s="187" t="str">
        <f t="shared" si="5"/>
        <v/>
      </c>
      <c r="M70" s="187" t="str">
        <f t="shared" si="6"/>
        <v/>
      </c>
      <c r="N70" s="187">
        <f t="shared" ca="1" si="7"/>
        <v>-12070449.481764492</v>
      </c>
      <c r="O70" s="187">
        <f t="shared" ca="1" si="8"/>
        <v>-190060079.10096556</v>
      </c>
      <c r="P70" s="187">
        <f t="shared" ca="1" si="9"/>
        <v>0</v>
      </c>
      <c r="Q70" s="187">
        <f t="shared" ca="1" si="10"/>
        <v>0</v>
      </c>
      <c r="R70" s="187">
        <f t="shared" ca="1" si="11"/>
        <v>-19281528.756030079</v>
      </c>
      <c r="S70" s="187">
        <f ca="1">IF(B70="","",IF($B$31=0,"",-'Debt Financing Calculations'!E19))</f>
        <v>-6129599.6730380133</v>
      </c>
      <c r="T70" s="187">
        <f t="shared" ca="1" si="12"/>
        <v>39972578.710386753</v>
      </c>
      <c r="U70" s="187">
        <f ca="1">IF(C70="","",IF(C70&lt;-1,0,IF(C70=anal_period,-LOOKUP(C70,depr_yr,depr_cost)-Depreciation!$C$141-Depreciation!$B$166,-LOOKUP(C70,depr_yr,depr_cost))))</f>
        <v>-18872193.997261468</v>
      </c>
      <c r="V70" s="187">
        <f t="shared" ca="1" si="13"/>
        <v>21100384.713125285</v>
      </c>
      <c r="W70" s="188">
        <f t="shared" si="14"/>
        <v>0.25739999999999996</v>
      </c>
      <c r="X70" s="187">
        <f t="shared" ca="1" si="15"/>
        <v>-5431239.0251584472</v>
      </c>
      <c r="Y70" s="187">
        <f t="shared" ca="1" si="16"/>
        <v>34541339.685228303</v>
      </c>
      <c r="Z70" s="187">
        <f>IF(C70="","",IF($B$31=0,"",-'Debt Financing Calculations'!F19))</f>
        <v>0</v>
      </c>
      <c r="AA70" s="187">
        <f t="shared" ca="1" si="17"/>
        <v>32136887.435051586</v>
      </c>
      <c r="AB70" s="187">
        <f t="shared" ca="1" si="23"/>
        <v>-118976218.9814114</v>
      </c>
      <c r="AC70" s="1156">
        <f t="shared" ca="1" si="18"/>
        <v>37568126.460210033</v>
      </c>
      <c r="AD70" s="134"/>
      <c r="AE70" s="1160">
        <f t="shared" ca="1" si="19"/>
        <v>124628629.5</v>
      </c>
      <c r="AF70" s="1156">
        <f t="shared" si="20"/>
        <v>0</v>
      </c>
    </row>
    <row r="71" spans="1:32" x14ac:dyDescent="0.25">
      <c r="A71" s="58">
        <f t="shared" si="21"/>
        <v>2043</v>
      </c>
      <c r="B71" s="185">
        <f>IF(MAX($B$65:B70)&lt;(construct+anal_period),B70+1,"")</f>
        <v>7</v>
      </c>
      <c r="C71" s="185">
        <f t="shared" si="22"/>
        <v>4</v>
      </c>
      <c r="D71" s="185">
        <f t="shared" si="1"/>
        <v>4</v>
      </c>
      <c r="E71" s="186">
        <f t="shared" si="2"/>
        <v>1.0580898589999999</v>
      </c>
      <c r="F71" s="59">
        <f t="shared" ca="1" si="3"/>
        <v>272597006.2009064</v>
      </c>
      <c r="G71" s="1169"/>
      <c r="H71" s="1178">
        <f t="shared" si="24"/>
        <v>0</v>
      </c>
      <c r="I71" s="187">
        <f ca="1">IF(OR(C71&lt;0,C71=""),"",-E71*INDEX('Replacement Costs'!$A$16:$H$57,MATCH(C71,'Replacement Costs'!$C$16:$C$57,0),MATCH("Total Yearly Replacement Costs",'Replacement Costs'!$A$16:$H$16,0)))</f>
        <v>-1545589.8085729107</v>
      </c>
      <c r="J71" s="187">
        <f ca="1">IF(AND(C71&gt;=1,C71&lt;anal_period),WorkingCap*SUM(N71:R71)-WorkingCap*SUM(N70:R70),IF(C71&lt;0,0,IF(B71="","",-SUM(J$65:J70))))</f>
        <v>-1059486.970177006</v>
      </c>
      <c r="K71" s="187" t="str">
        <f t="shared" si="4"/>
        <v/>
      </c>
      <c r="L71" s="187" t="str">
        <f t="shared" si="5"/>
        <v/>
      </c>
      <c r="M71" s="187" t="str">
        <f t="shared" si="6"/>
        <v/>
      </c>
      <c r="N71" s="187">
        <f t="shared" ca="1" si="7"/>
        <v>-12299788.021918017</v>
      </c>
      <c r="O71" s="187">
        <f t="shared" ca="1" si="8"/>
        <v>-196498255.10182351</v>
      </c>
      <c r="P71" s="187">
        <f t="shared" ca="1" si="9"/>
        <v>0</v>
      </c>
      <c r="Q71" s="187">
        <f t="shared" ca="1" si="10"/>
        <v>0</v>
      </c>
      <c r="R71" s="187">
        <f t="shared" ca="1" si="11"/>
        <v>-19677260.682865292</v>
      </c>
      <c r="S71" s="187">
        <f ca="1">IF(B71="","",IF($B$31=0,"",-'Debt Financing Calculations'!E20))</f>
        <v>-6129599.6730380133</v>
      </c>
      <c r="T71" s="187">
        <f t="shared" ca="1" si="12"/>
        <v>37992102.721261561</v>
      </c>
      <c r="U71" s="187">
        <f ca="1">IF(C71="","",IF(C71&lt;-1,0,IF(C71=anal_period,-LOOKUP(C71,depr_yr,depr_cost)-Depreciation!$C$141-Depreciation!$B$166,-LOOKUP(C71,depr_yr,depr_cost))))</f>
        <v>-17573784.639907014</v>
      </c>
      <c r="V71" s="187">
        <f t="shared" ca="1" si="13"/>
        <v>20418318.081354547</v>
      </c>
      <c r="W71" s="188">
        <f t="shared" si="14"/>
        <v>0.25739999999999996</v>
      </c>
      <c r="X71" s="187">
        <f t="shared" ca="1" si="15"/>
        <v>-5255675.0741406595</v>
      </c>
      <c r="Y71" s="187">
        <f t="shared" ca="1" si="16"/>
        <v>32736427.6471209</v>
      </c>
      <c r="Z71" s="187">
        <f>IF(C71="","",IF($B$31=0,"",-'Debt Financing Calculations'!F20))</f>
        <v>0</v>
      </c>
      <c r="AA71" s="187">
        <f t="shared" ca="1" si="17"/>
        <v>30131350.868370987</v>
      </c>
      <c r="AB71" s="187">
        <f t="shared" ca="1" si="23"/>
        <v>-88844868.113040417</v>
      </c>
      <c r="AC71" s="1156">
        <f t="shared" ca="1" si="18"/>
        <v>35387025.942511648</v>
      </c>
      <c r="AD71" s="134"/>
      <c r="AE71" s="1160">
        <f t="shared" ca="1" si="19"/>
        <v>124628629.5</v>
      </c>
      <c r="AF71" s="1156">
        <f t="shared" si="20"/>
        <v>0</v>
      </c>
    </row>
    <row r="72" spans="1:32" x14ac:dyDescent="0.25">
      <c r="A72" s="58">
        <f t="shared" si="21"/>
        <v>2044</v>
      </c>
      <c r="B72" s="185">
        <f>IF(MAX($B$65:B71)&lt;(construct+anal_period),B71+1,"")</f>
        <v>8</v>
      </c>
      <c r="C72" s="185">
        <f t="shared" si="22"/>
        <v>5</v>
      </c>
      <c r="D72" s="185">
        <f t="shared" si="1"/>
        <v>5</v>
      </c>
      <c r="E72" s="186">
        <f t="shared" si="2"/>
        <v>1.0781935663209998</v>
      </c>
      <c r="F72" s="59">
        <f t="shared" ca="1" si="3"/>
        <v>277776349.31872362</v>
      </c>
      <c r="G72" s="1169"/>
      <c r="H72" s="1178">
        <f t="shared" si="24"/>
        <v>0</v>
      </c>
      <c r="I72" s="187">
        <f ca="1">IF(OR(C72&lt;0,C72=""),"",-E72*INDEX('Replacement Costs'!$A$16:$H$57,MATCH(C72,'Replacement Costs'!$C$16:$C$57,0),MATCH("Total Yearly Replacement Costs",'Replacement Costs'!$A$16:$H$16,0)))</f>
        <v>-1574956.0149357961</v>
      </c>
      <c r="J72" s="187">
        <f ca="1">IF(AND(C72&gt;=1,C72&lt;anal_period),WorkingCap*SUM(N72:R72)-WorkingCap*SUM(N71:R71),IF(C72&lt;0,0,IF(B72="","",-SUM(J$65:J71))))</f>
        <v>-952882.36328152567</v>
      </c>
      <c r="K72" s="187" t="str">
        <f t="shared" si="4"/>
        <v/>
      </c>
      <c r="L72" s="187" t="str">
        <f t="shared" si="5"/>
        <v/>
      </c>
      <c r="M72" s="187" t="str">
        <f t="shared" si="6"/>
        <v/>
      </c>
      <c r="N72" s="187">
        <f t="shared" ca="1" si="7"/>
        <v>-12533483.994334459</v>
      </c>
      <c r="O72" s="187">
        <f t="shared" ca="1" si="8"/>
        <v>-202206160.65225136</v>
      </c>
      <c r="P72" s="187">
        <f t="shared" ca="1" si="9"/>
        <v>0</v>
      </c>
      <c r="Q72" s="187">
        <f t="shared" ca="1" si="10"/>
        <v>0</v>
      </c>
      <c r="R72" s="187">
        <f t="shared" ca="1" si="11"/>
        <v>-20088208.248564523</v>
      </c>
      <c r="S72" s="187">
        <f ca="1">IF(B72="","",IF($B$31=0,"",-'Debt Financing Calculations'!E21))</f>
        <v>-6129599.6730380133</v>
      </c>
      <c r="T72" s="187">
        <f t="shared" ca="1" si="12"/>
        <v>36818896.75053528</v>
      </c>
      <c r="U72" s="187">
        <f ca="1">IF(C72="","",IF(C72&lt;-1,0,IF(C72=anal_period,-LOOKUP(C72,depr_yr,depr_cost)-Depreciation!$C$141-Depreciation!$B$166,-LOOKUP(C72,depr_yr,depr_cost))))</f>
        <v>-16370746.607312424</v>
      </c>
      <c r="V72" s="187">
        <f t="shared" ca="1" si="13"/>
        <v>20448150.143222854</v>
      </c>
      <c r="W72" s="188">
        <f t="shared" si="14"/>
        <v>0.25739999999999996</v>
      </c>
      <c r="X72" s="187">
        <f t="shared" ca="1" si="15"/>
        <v>-5263353.8468655618</v>
      </c>
      <c r="Y72" s="187">
        <f t="shared" ca="1" si="16"/>
        <v>31555542.903669719</v>
      </c>
      <c r="Z72" s="187">
        <f>IF(C72="","",IF($B$31=0,"",-'Debt Financing Calculations'!F21))</f>
        <v>0</v>
      </c>
      <c r="AA72" s="187">
        <f t="shared" ca="1" si="17"/>
        <v>29027704.525452394</v>
      </c>
      <c r="AB72" s="187">
        <f t="shared" ca="1" si="23"/>
        <v>-59817163.587588027</v>
      </c>
      <c r="AC72" s="1156">
        <f t="shared" ca="1" si="18"/>
        <v>34291058.372317955</v>
      </c>
      <c r="AD72" s="134"/>
      <c r="AE72" s="1160">
        <f t="shared" ca="1" si="19"/>
        <v>124628629.5</v>
      </c>
      <c r="AF72" s="1156">
        <f t="shared" si="20"/>
        <v>0</v>
      </c>
    </row>
    <row r="73" spans="1:32" x14ac:dyDescent="0.25">
      <c r="A73" s="58">
        <f t="shared" si="21"/>
        <v>2045</v>
      </c>
      <c r="B73" s="185">
        <f>IF(MAX($B$65:B72)&lt;(construct+anal_period),B72+1,"")</f>
        <v>9</v>
      </c>
      <c r="C73" s="185">
        <f t="shared" si="22"/>
        <v>6</v>
      </c>
      <c r="D73" s="185">
        <f t="shared" si="1"/>
        <v>6</v>
      </c>
      <c r="E73" s="186">
        <f t="shared" si="2"/>
        <v>1.0986792440810986</v>
      </c>
      <c r="F73" s="59">
        <f t="shared" ca="1" si="3"/>
        <v>283054099.95577931</v>
      </c>
      <c r="G73" s="1169"/>
      <c r="H73" s="1178">
        <f t="shared" si="24"/>
        <v>0</v>
      </c>
      <c r="I73" s="187">
        <f ca="1">IF(OR(C73&lt;0,C73=""),"",-E73*INDEX('Replacement Costs'!$A$16:$H$57,MATCH(C73,'Replacement Costs'!$C$16:$C$57,0),MATCH("Total Yearly Replacement Costs",'Replacement Costs'!$A$16:$H$16,0)))</f>
        <v>-1604880.1792195761</v>
      </c>
      <c r="J73" s="187">
        <f ca="1">IF(AND(C73&gt;=1,C73&lt;anal_period),WorkingCap*SUM(N73:R73)-WorkingCap*SUM(N72:R72),IF(C73&lt;0,0,IF(B73="","",-SUM(J$65:J72))))</f>
        <v>-1071643.8247568905</v>
      </c>
      <c r="K73" s="187" t="str">
        <f t="shared" si="4"/>
        <v/>
      </c>
      <c r="L73" s="187" t="str">
        <f t="shared" si="5"/>
        <v/>
      </c>
      <c r="M73" s="187" t="str">
        <f t="shared" si="6"/>
        <v/>
      </c>
      <c r="N73" s="187">
        <f t="shared" ca="1" si="7"/>
        <v>-12771620.190226812</v>
      </c>
      <c r="O73" s="187">
        <f t="shared" ca="1" si="8"/>
        <v>-208693870.78071338</v>
      </c>
      <c r="P73" s="187">
        <f t="shared" ca="1" si="9"/>
        <v>0</v>
      </c>
      <c r="Q73" s="187">
        <f t="shared" ca="1" si="10"/>
        <v>0</v>
      </c>
      <c r="R73" s="187">
        <f t="shared" ca="1" si="11"/>
        <v>-20506654.089256074</v>
      </c>
      <c r="S73" s="187">
        <f ca="1">IF(B73="","",IF($B$31=0,"",-'Debt Financing Calculations'!E22))</f>
        <v>-6129599.6730380133</v>
      </c>
      <c r="T73" s="187">
        <f t="shared" ca="1" si="12"/>
        <v>34952355.222545028</v>
      </c>
      <c r="U73" s="187">
        <f ca="1">IF(C73="","",IF(C73&lt;-1,0,IF(C73=anal_period,-LOOKUP(C73,depr_yr,depr_cost)-Depreciation!$C$141-Depreciation!$B$166,-LOOKUP(C73,depr_yr,depr_cost))))</f>
        <v>-15263511.354962545</v>
      </c>
      <c r="V73" s="187">
        <f t="shared" ca="1" si="13"/>
        <v>19688843.867582485</v>
      </c>
      <c r="W73" s="188">
        <f t="shared" si="14"/>
        <v>0.25739999999999996</v>
      </c>
      <c r="X73" s="187">
        <f t="shared" ca="1" si="15"/>
        <v>-5067908.4115157314</v>
      </c>
      <c r="Y73" s="187">
        <f t="shared" ca="1" si="16"/>
        <v>29884446.811029296</v>
      </c>
      <c r="Z73" s="187">
        <f>IF(C73="","",IF($B$31=0,"",-'Debt Financing Calculations'!F22))</f>
        <v>0</v>
      </c>
      <c r="AA73" s="187">
        <f t="shared" ca="1" si="17"/>
        <v>27207922.807052828</v>
      </c>
      <c r="AB73" s="187">
        <f t="shared" ca="1" si="23"/>
        <v>-32609240.780535199</v>
      </c>
      <c r="AC73" s="1156">
        <f t="shared" ca="1" si="18"/>
        <v>32275831.21856856</v>
      </c>
      <c r="AD73" s="134"/>
      <c r="AE73" s="1160">
        <f t="shared" ca="1" si="19"/>
        <v>124628629.5</v>
      </c>
      <c r="AF73" s="1156">
        <f t="shared" si="20"/>
        <v>0</v>
      </c>
    </row>
    <row r="74" spans="1:32" x14ac:dyDescent="0.25">
      <c r="A74" s="58">
        <f t="shared" si="21"/>
        <v>2046</v>
      </c>
      <c r="B74" s="185">
        <f>IF(MAX($B$65:B73)&lt;(construct+anal_period),B73+1,"")</f>
        <v>10</v>
      </c>
      <c r="C74" s="185">
        <f t="shared" si="22"/>
        <v>7</v>
      </c>
      <c r="D74" s="185">
        <f t="shared" si="1"/>
        <v>7</v>
      </c>
      <c r="E74" s="186">
        <f t="shared" si="2"/>
        <v>1.1195541497186396</v>
      </c>
      <c r="F74" s="59">
        <f t="shared" ca="1" si="3"/>
        <v>288432127.85493916</v>
      </c>
      <c r="G74" s="1169"/>
      <c r="H74" s="1178">
        <f t="shared" si="24"/>
        <v>0</v>
      </c>
      <c r="I74" s="187">
        <f ca="1">IF(OR(C74&lt;0,C74=""),"",-E74*INDEX('Replacement Costs'!$A$16:$H$57,MATCH(C74,'Replacement Costs'!$C$16:$C$57,0),MATCH("Total Yearly Replacement Costs",'Replacement Costs'!$A$16:$H$16,0)))</f>
        <v>-1635372.9026247482</v>
      </c>
      <c r="J74" s="187">
        <f ca="1">IF(AND(C74&gt;=1,C74&lt;anal_period),WorkingCap*SUM(N74:R74)-WorkingCap*SUM(N73:R73),IF(C74&lt;0,0,IF(B74="","",-SUM(J$65:J73))))</f>
        <v>-1004492.8517554924</v>
      </c>
      <c r="K74" s="187" t="str">
        <f t="shared" si="4"/>
        <v/>
      </c>
      <c r="L74" s="187" t="str">
        <f t="shared" si="5"/>
        <v/>
      </c>
      <c r="M74" s="187" t="str">
        <f t="shared" si="6"/>
        <v/>
      </c>
      <c r="N74" s="187">
        <f t="shared" ca="1" si="7"/>
        <v>-13014280.973841121</v>
      </c>
      <c r="O74" s="187">
        <f t="shared" ca="1" si="8"/>
        <v>-214720108.0384182</v>
      </c>
      <c r="P74" s="187">
        <f t="shared" ca="1" si="9"/>
        <v>0</v>
      </c>
      <c r="Q74" s="187">
        <f t="shared" ca="1" si="10"/>
        <v>0</v>
      </c>
      <c r="R74" s="187">
        <f t="shared" ca="1" si="11"/>
        <v>-20934375.059640225</v>
      </c>
      <c r="S74" s="187">
        <f ca="1">IF(B74="","",IF($B$31=0,"",-'Debt Financing Calculations'!E23))</f>
        <v>-6129599.6730380133</v>
      </c>
      <c r="T74" s="187">
        <f t="shared" ca="1" si="12"/>
        <v>33633764.110001594</v>
      </c>
      <c r="U74" s="187">
        <f ca="1">IF(C74="","",IF(C74&lt;-1,0,IF(C74=anal_period,-LOOKUP(C74,depr_yr,depr_cost)-Depreciation!$C$141-Depreciation!$B$166,-LOOKUP(C74,depr_yr,depr_cost))))</f>
        <v>-14238509.35448028</v>
      </c>
      <c r="V74" s="187">
        <f t="shared" ca="1" si="13"/>
        <v>19395254.755521312</v>
      </c>
      <c r="W74" s="188">
        <f t="shared" si="14"/>
        <v>0.25739999999999996</v>
      </c>
      <c r="X74" s="187">
        <f t="shared" ca="1" si="15"/>
        <v>-4992338.5740711847</v>
      </c>
      <c r="Y74" s="187">
        <f t="shared" ca="1" si="16"/>
        <v>28641425.53593041</v>
      </c>
      <c r="Z74" s="187">
        <f>IF(C74="","",IF($B$31=0,"",-'Debt Financing Calculations'!F23))</f>
        <v>0</v>
      </c>
      <c r="AA74" s="187">
        <f t="shared" ca="1" si="17"/>
        <v>26001559.781550169</v>
      </c>
      <c r="AB74" s="187">
        <f t="shared" ca="1" si="23"/>
        <v>-6607680.9989850298</v>
      </c>
      <c r="AC74" s="1156">
        <f t="shared" ca="1" si="18"/>
        <v>30993898.355621353</v>
      </c>
      <c r="AD74" s="134"/>
      <c r="AE74" s="1160">
        <f t="shared" ca="1" si="19"/>
        <v>124628629.5</v>
      </c>
      <c r="AF74" s="1156">
        <f t="shared" si="20"/>
        <v>0</v>
      </c>
    </row>
    <row r="75" spans="1:32" x14ac:dyDescent="0.25">
      <c r="A75" s="58">
        <f t="shared" si="21"/>
        <v>2047</v>
      </c>
      <c r="B75" s="185">
        <f>IF(MAX($B$65:B74)&lt;(construct+anal_period),B74+1,"")</f>
        <v>11</v>
      </c>
      <c r="C75" s="185">
        <f t="shared" si="22"/>
        <v>8</v>
      </c>
      <c r="D75" s="185">
        <f t="shared" si="1"/>
        <v>8</v>
      </c>
      <c r="E75" s="186">
        <f t="shared" si="2"/>
        <v>1.1408256785632938</v>
      </c>
      <c r="F75" s="59">
        <f t="shared" ca="1" si="3"/>
        <v>293912338.28418303</v>
      </c>
      <c r="G75" s="1169"/>
      <c r="H75" s="1178">
        <f t="shared" si="24"/>
        <v>0</v>
      </c>
      <c r="I75" s="187">
        <f ca="1">IF(OR(C75&lt;0,C75=""),"",-E75*INDEX('Replacement Costs'!$A$16:$H$57,MATCH(C75,'Replacement Costs'!$C$16:$C$57,0),MATCH("Total Yearly Replacement Costs",'Replacement Costs'!$A$16:$H$16,0)))</f>
        <v>-1666444.9877746182</v>
      </c>
      <c r="J75" s="187">
        <f ca="1">IF(AND(C75&gt;=1,C75&lt;anal_period),WorkingCap*SUM(N75:R75)-WorkingCap*SUM(N74:R74),IF(C75&lt;0,0,IF(B75="","",-SUM(J$65:J74))))</f>
        <v>-1059475.4593397751</v>
      </c>
      <c r="K75" s="187" t="str">
        <f t="shared" si="4"/>
        <v/>
      </c>
      <c r="L75" s="187" t="str">
        <f t="shared" si="5"/>
        <v/>
      </c>
      <c r="M75" s="187" t="str">
        <f t="shared" si="6"/>
        <v/>
      </c>
      <c r="N75" s="187">
        <f t="shared" ca="1" si="7"/>
        <v>-13261552.312344102</v>
      </c>
      <c r="O75" s="187">
        <f t="shared" ca="1" si="8"/>
        <v>-221103418.91142574</v>
      </c>
      <c r="P75" s="187">
        <f t="shared" ca="1" si="9"/>
        <v>0</v>
      </c>
      <c r="Q75" s="187">
        <f t="shared" ca="1" si="10"/>
        <v>0</v>
      </c>
      <c r="R75" s="187">
        <f t="shared" ca="1" si="11"/>
        <v>-21366962.577061534</v>
      </c>
      <c r="S75" s="187">
        <f ca="1">IF(B75="","",IF($B$31=0,"",-'Debt Financing Calculations'!E24))</f>
        <v>-6129599.6730380133</v>
      </c>
      <c r="T75" s="187">
        <f t="shared" ca="1" si="12"/>
        <v>32050804.810313642</v>
      </c>
      <c r="U75" s="187">
        <f ca="1">IF(C75="","",IF(C75&lt;-1,0,IF(C75=anal_period,-LOOKUP(C75,depr_yr,depr_cost)-Depreciation!$C$141-Depreciation!$B$166,-LOOKUP(C75,depr_yr,depr_cost))))</f>
        <v>-13296114.187921835</v>
      </c>
      <c r="V75" s="187">
        <f t="shared" ca="1" si="13"/>
        <v>18754690.622391805</v>
      </c>
      <c r="W75" s="188">
        <f t="shared" si="14"/>
        <v>0.25739999999999996</v>
      </c>
      <c r="X75" s="187">
        <f t="shared" ca="1" si="15"/>
        <v>-4827457.3662036499</v>
      </c>
      <c r="Y75" s="187">
        <f t="shared" ca="1" si="16"/>
        <v>27223347.444109991</v>
      </c>
      <c r="Z75" s="187">
        <f>IF(C75="","",IF($B$31=0,"",-'Debt Financing Calculations'!F24))</f>
        <v>0</v>
      </c>
      <c r="AA75" s="187">
        <f t="shared" ca="1" si="17"/>
        <v>24497426.996995598</v>
      </c>
      <c r="AB75" s="187">
        <f t="shared" ca="1" si="23"/>
        <v>17889745.998010568</v>
      </c>
      <c r="AC75" s="1156">
        <f t="shared" ca="1" si="18"/>
        <v>29324884.363199249</v>
      </c>
      <c r="AD75" s="134"/>
      <c r="AE75" s="1160">
        <f t="shared" ca="1" si="19"/>
        <v>124628629.5</v>
      </c>
      <c r="AF75" s="1156">
        <f t="shared" si="20"/>
        <v>0</v>
      </c>
    </row>
    <row r="76" spans="1:32" x14ac:dyDescent="0.25">
      <c r="A76" s="58">
        <f t="shared" si="21"/>
        <v>2048</v>
      </c>
      <c r="B76" s="185">
        <f>IF(MAX($B$65:B75)&lt;(construct+anal_period),B75+1,"")</f>
        <v>12</v>
      </c>
      <c r="C76" s="185">
        <f t="shared" si="22"/>
        <v>9</v>
      </c>
      <c r="D76" s="185">
        <f t="shared" si="1"/>
        <v>9</v>
      </c>
      <c r="E76" s="186">
        <f t="shared" si="2"/>
        <v>1.1625013664559962</v>
      </c>
      <c r="F76" s="59">
        <f t="shared" ca="1" si="3"/>
        <v>299496672.71158248</v>
      </c>
      <c r="G76" s="1169"/>
      <c r="H76" s="1178">
        <f t="shared" si="24"/>
        <v>0</v>
      </c>
      <c r="I76" s="187">
        <f ca="1">IF(OR(C76&lt;0,C76=""),"",-E76*INDEX('Replacement Costs'!$A$16:$H$57,MATCH(C76,'Replacement Costs'!$C$16:$C$57,0),MATCH("Total Yearly Replacement Costs",'Replacement Costs'!$A$16:$H$16,0)))</f>
        <v>-1698107.4425423357</v>
      </c>
      <c r="J76" s="187">
        <f ca="1">IF(AND(C76&gt;=1,C76&lt;anal_period),WorkingCap*SUM(N76:R76)-WorkingCap*SUM(N75:R75),IF(C76&lt;0,0,IF(B76="","",-SUM(J$65:J75))))</f>
        <v>-1354284.5322974622</v>
      </c>
      <c r="K76" s="187" t="str">
        <f t="shared" si="4"/>
        <v/>
      </c>
      <c r="L76" s="187" t="str">
        <f t="shared" si="5"/>
        <v/>
      </c>
      <c r="M76" s="187" t="str">
        <f t="shared" si="6"/>
        <v/>
      </c>
      <c r="N76" s="187">
        <f t="shared" ca="1" si="7"/>
        <v>-13513521.80627864</v>
      </c>
      <c r="O76" s="187">
        <f t="shared" ca="1" si="8"/>
        <v>-229434112.4694275</v>
      </c>
      <c r="P76" s="187">
        <f t="shared" ca="1" si="9"/>
        <v>0</v>
      </c>
      <c r="Q76" s="187">
        <f t="shared" ca="1" si="10"/>
        <v>0</v>
      </c>
      <c r="R76" s="187">
        <f t="shared" ca="1" si="11"/>
        <v>-21812863.073774993</v>
      </c>
      <c r="S76" s="187">
        <f ca="1">IF(B76="","",IF($B$31=0,"",-'Debt Financing Calculations'!E25))</f>
        <v>-6129599.6730380133</v>
      </c>
      <c r="T76" s="187">
        <f t="shared" ca="1" si="12"/>
        <v>28606575.689063311</v>
      </c>
      <c r="U76" s="187">
        <f ca="1">IF(C76="","",IF(C76&lt;-1,0,IF(C76=anal_period,-LOOKUP(C76,depr_yr,depr_cost)-Depreciation!$C$141-Depreciation!$B$166,-LOOKUP(C76,depr_yr,depr_cost))))</f>
        <v>-13207211.518790336</v>
      </c>
      <c r="V76" s="187">
        <f t="shared" ca="1" si="13"/>
        <v>15399364.170272974</v>
      </c>
      <c r="W76" s="188">
        <f t="shared" si="14"/>
        <v>0.25739999999999996</v>
      </c>
      <c r="X76" s="187">
        <f t="shared" ca="1" si="15"/>
        <v>-3963796.3374282629</v>
      </c>
      <c r="Y76" s="187">
        <f t="shared" ca="1" si="16"/>
        <v>24642779.351635046</v>
      </c>
      <c r="Z76" s="187">
        <f>IF(C76="","",IF($B$31=0,"",-'Debt Financing Calculations'!F25))</f>
        <v>0</v>
      </c>
      <c r="AA76" s="187">
        <f t="shared" ca="1" si="17"/>
        <v>21590387.376795247</v>
      </c>
      <c r="AB76" s="187">
        <f t="shared" ca="1" si="23"/>
        <v>39480133.374805816</v>
      </c>
      <c r="AC76" s="1156">
        <f t="shared" ca="1" si="18"/>
        <v>25554183.714223512</v>
      </c>
      <c r="AD76" s="134"/>
      <c r="AE76" s="1160">
        <f t="shared" ca="1" si="19"/>
        <v>124628629.5</v>
      </c>
      <c r="AF76" s="1156">
        <f t="shared" si="20"/>
        <v>0</v>
      </c>
    </row>
    <row r="77" spans="1:32" x14ac:dyDescent="0.25">
      <c r="A77" s="58">
        <f t="shared" si="21"/>
        <v>2049</v>
      </c>
      <c r="B77" s="185">
        <f>IF(MAX($B$65:B76)&lt;(construct+anal_period),B76+1,"")</f>
        <v>13</v>
      </c>
      <c r="C77" s="185">
        <f t="shared" si="22"/>
        <v>10</v>
      </c>
      <c r="D77" s="185">
        <f t="shared" si="1"/>
        <v>10</v>
      </c>
      <c r="E77" s="186">
        <f t="shared" si="2"/>
        <v>1.1845888924186601</v>
      </c>
      <c r="F77" s="59">
        <f t="shared" ca="1" si="3"/>
        <v>305187109.49310249</v>
      </c>
      <c r="G77" s="1169"/>
      <c r="H77" s="1178">
        <f t="shared" si="24"/>
        <v>0</v>
      </c>
      <c r="I77" s="187">
        <f ca="1">IF(OR(C77&lt;0,C77=""),"",-E77*INDEX('Replacement Costs'!$A$16:$H$57,MATCH(C77,'Replacement Costs'!$C$16:$C$57,0),MATCH("Total Yearly Replacement Costs",'Replacement Costs'!$A$16:$H$16,0)))</f>
        <v>-1730371.4839506401</v>
      </c>
      <c r="J77" s="187">
        <f ca="1">IF(AND(C77&gt;=1,C77&lt;anal_period),WorkingCap*SUM(N77:R77)-WorkingCap*SUM(N76:R76),IF(C77&lt;0,0,IF(B77="","",-SUM(J$65:J76))))</f>
        <v>-965239.33781262487</v>
      </c>
      <c r="K77" s="187" t="str">
        <f t="shared" si="4"/>
        <v/>
      </c>
      <c r="L77" s="187" t="str">
        <f t="shared" si="5"/>
        <v/>
      </c>
      <c r="M77" s="187" t="str">
        <f t="shared" si="6"/>
        <v/>
      </c>
      <c r="N77" s="187">
        <f t="shared" ca="1" si="7"/>
        <v>-13770278.720597932</v>
      </c>
      <c r="O77" s="187">
        <f t="shared" ca="1" si="8"/>
        <v>-235162589.1604614</v>
      </c>
      <c r="P77" s="187">
        <f t="shared" ca="1" si="9"/>
        <v>0</v>
      </c>
      <c r="Q77" s="187">
        <f t="shared" ca="1" si="10"/>
        <v>0</v>
      </c>
      <c r="R77" s="187">
        <f t="shared" ca="1" si="11"/>
        <v>-22262558.387172662</v>
      </c>
      <c r="S77" s="187">
        <f ca="1">IF(B77="","",IF($B$31=0,"",-'Debt Financing Calculations'!E26))</f>
        <v>-6129599.6730380133</v>
      </c>
      <c r="T77" s="187">
        <f t="shared" ca="1" si="12"/>
        <v>27862083.551832497</v>
      </c>
      <c r="U77" s="187">
        <f ca="1">IF(C77="","",IF(C77&lt;-1,0,IF(C77=anal_period,-LOOKUP(C77,depr_yr,depr_cost)-Depreciation!$C$141-Depreciation!$B$166,-LOOKUP(C77,depr_yr,depr_cost))))</f>
        <v>-13284229.040311828</v>
      </c>
      <c r="V77" s="187">
        <f t="shared" ca="1" si="13"/>
        <v>14577854.511520669</v>
      </c>
      <c r="W77" s="188">
        <f t="shared" si="14"/>
        <v>0.25739999999999996</v>
      </c>
      <c r="X77" s="187">
        <f t="shared" ca="1" si="15"/>
        <v>-3752339.7512654196</v>
      </c>
      <c r="Y77" s="187">
        <f t="shared" ca="1" si="16"/>
        <v>24109743.800567076</v>
      </c>
      <c r="Z77" s="187">
        <f>IF(C77="","",IF($B$31=0,"",-'Debt Financing Calculations'!F26))</f>
        <v>0</v>
      </c>
      <c r="AA77" s="187">
        <f t="shared" ca="1" si="17"/>
        <v>21414132.978803813</v>
      </c>
      <c r="AB77" s="187">
        <f t="shared" ca="1" si="23"/>
        <v>60894266.353609629</v>
      </c>
      <c r="AC77" s="1156">
        <f t="shared" ca="1" si="18"/>
        <v>25166472.730069231</v>
      </c>
      <c r="AD77" s="134"/>
      <c r="AE77" s="1160">
        <f t="shared" ca="1" si="19"/>
        <v>124628629.5</v>
      </c>
      <c r="AF77" s="1156">
        <f t="shared" si="20"/>
        <v>0</v>
      </c>
    </row>
    <row r="78" spans="1:32" x14ac:dyDescent="0.25">
      <c r="A78" s="58">
        <f t="shared" si="21"/>
        <v>2050</v>
      </c>
      <c r="B78" s="185">
        <f>IF(MAX($B$65:B77)&lt;(construct+anal_period),B77+1,"")</f>
        <v>14</v>
      </c>
      <c r="C78" s="185">
        <f t="shared" si="22"/>
        <v>11</v>
      </c>
      <c r="D78" s="185">
        <f t="shared" si="1"/>
        <v>11</v>
      </c>
      <c r="E78" s="186">
        <f t="shared" si="2"/>
        <v>1.2070960813746145</v>
      </c>
      <c r="F78" s="59">
        <f t="shared" ca="1" si="3"/>
        <v>310985664.57347143</v>
      </c>
      <c r="G78" s="1169"/>
      <c r="H78" s="1178">
        <f t="shared" si="24"/>
        <v>0</v>
      </c>
      <c r="I78" s="187">
        <f ca="1">IF(OR(C78&lt;0,C78=""),"",-E78*INDEX('Replacement Costs'!$A$16:$H$57,MATCH(C78,'Replacement Costs'!$C$16:$C$57,0),MATCH("Total Yearly Replacement Costs",'Replacement Costs'!$A$16:$H$16,0)))</f>
        <v>-1763248.5421457021</v>
      </c>
      <c r="J78" s="187">
        <f ca="1">IF(AND(C78&gt;=1,C78&lt;anal_period),WorkingCap*SUM(N78:R78)-WorkingCap*SUM(N77:R77),IF(C78&lt;0,0,IF(B78="","",-SUM(J$65:J77))))</f>
        <v>-1233235.6046046168</v>
      </c>
      <c r="K78" s="187" t="str">
        <f t="shared" si="4"/>
        <v/>
      </c>
      <c r="L78" s="187" t="str">
        <f t="shared" si="5"/>
        <v/>
      </c>
      <c r="M78" s="187" t="str">
        <f t="shared" si="6"/>
        <v/>
      </c>
      <c r="N78" s="187">
        <f t="shared" ca="1" si="7"/>
        <v>-14031914.016289294</v>
      </c>
      <c r="O78" s="187">
        <f t="shared" ca="1" si="8"/>
        <v>-242664711.69360712</v>
      </c>
      <c r="P78" s="187">
        <f t="shared" ca="1" si="9"/>
        <v>0</v>
      </c>
      <c r="Q78" s="187">
        <f t="shared" ca="1" si="10"/>
        <v>0</v>
      </c>
      <c r="R78" s="187">
        <f t="shared" ca="1" si="11"/>
        <v>-22720371.255699661</v>
      </c>
      <c r="S78" s="187">
        <f ca="1">IF(B78="","",IF($B$31=0,"",-'Debt Financing Calculations'!E27))</f>
        <v>-6129599.6730380133</v>
      </c>
      <c r="T78" s="187">
        <f t="shared" ca="1" si="12"/>
        <v>25439067.934837341</v>
      </c>
      <c r="U78" s="187">
        <f ca="1">IF(C78="","",IF(C78&lt;-1,0,IF(C78=anal_period,-LOOKUP(C78,depr_yr,depr_cost)-Depreciation!$C$141-Depreciation!$B$166,-LOOKUP(C78,depr_yr,depr_cost))))</f>
        <v>-13368351.917339951</v>
      </c>
      <c r="V78" s="187">
        <f t="shared" ca="1" si="13"/>
        <v>12070716.017497391</v>
      </c>
      <c r="W78" s="188">
        <f t="shared" si="14"/>
        <v>0.25739999999999996</v>
      </c>
      <c r="X78" s="187">
        <f t="shared" ca="1" si="15"/>
        <v>-3107002.3029038277</v>
      </c>
      <c r="Y78" s="187">
        <f t="shared" ca="1" si="16"/>
        <v>22332065.631933514</v>
      </c>
      <c r="Z78" s="187">
        <f>IF(C78="","",IF($B$31=0,"",-'Debt Financing Calculations'!F27))</f>
        <v>0</v>
      </c>
      <c r="AA78" s="187">
        <f t="shared" ca="1" si="17"/>
        <v>19335581.485183194</v>
      </c>
      <c r="AB78" s="187">
        <f t="shared" ca="1" si="23"/>
        <v>80229847.838792831</v>
      </c>
      <c r="AC78" s="1156">
        <f t="shared" ca="1" si="18"/>
        <v>22442583.788087022</v>
      </c>
      <c r="AD78" s="134"/>
      <c r="AE78" s="1160">
        <f t="shared" ca="1" si="19"/>
        <v>124628629.5</v>
      </c>
      <c r="AF78" s="1156">
        <f t="shared" si="20"/>
        <v>0</v>
      </c>
    </row>
    <row r="79" spans="1:32" x14ac:dyDescent="0.25">
      <c r="A79" s="58">
        <f t="shared" si="21"/>
        <v>2051</v>
      </c>
      <c r="B79" s="185">
        <f>IF(MAX($B$65:B78)&lt;(construct+anal_period),B78+1,"")</f>
        <v>15</v>
      </c>
      <c r="C79" s="185">
        <f t="shared" si="22"/>
        <v>12</v>
      </c>
      <c r="D79" s="185">
        <f t="shared" si="1"/>
        <v>12</v>
      </c>
      <c r="E79" s="186">
        <f t="shared" si="2"/>
        <v>1.2300309069207322</v>
      </c>
      <c r="F79" s="59">
        <f t="shared" ca="1" si="3"/>
        <v>316894392.20036739</v>
      </c>
      <c r="G79" s="1169"/>
      <c r="H79" s="1178">
        <f t="shared" si="24"/>
        <v>0</v>
      </c>
      <c r="I79" s="187">
        <f ca="1">IF(OR(C79&lt;0,C79=""),"",-E79*INDEX('Replacement Costs'!$A$16:$H$57,MATCH(C79,'Replacement Costs'!$C$16:$C$57,0),MATCH("Total Yearly Replacement Costs",'Replacement Costs'!$A$16:$H$16,0)))</f>
        <v>-1796750.2644464707</v>
      </c>
      <c r="J79" s="187">
        <f ca="1">IF(AND(C79&gt;=1,C79&lt;anal_period),WorkingCap*SUM(N79:R79)-WorkingCap*SUM(N78:R78),IF(C79&lt;0,0,IF(B79="","",-SUM(J$65:J78))))</f>
        <v>-1004106.6967333108</v>
      </c>
      <c r="K79" s="187" t="str">
        <f t="shared" si="4"/>
        <v/>
      </c>
      <c r="L79" s="187" t="str">
        <f t="shared" si="5"/>
        <v/>
      </c>
      <c r="M79" s="187" t="str">
        <f t="shared" si="6"/>
        <v/>
      </c>
      <c r="N79" s="187">
        <f t="shared" ca="1" si="7"/>
        <v>-14298520.382598789</v>
      </c>
      <c r="O79" s="187">
        <f t="shared" ca="1" si="8"/>
        <v>-248650029.24240986</v>
      </c>
      <c r="P79" s="187">
        <f t="shared" ca="1" si="9"/>
        <v>0</v>
      </c>
      <c r="Q79" s="187">
        <f t="shared" ca="1" si="10"/>
        <v>0</v>
      </c>
      <c r="R79" s="187">
        <f t="shared" ca="1" si="11"/>
        <v>-23162491.985476188</v>
      </c>
      <c r="S79" s="187">
        <f ca="1">IF(B79="","",IF($B$31=0,"",-'Debt Financing Calculations'!E28))</f>
        <v>-6129599.6730380133</v>
      </c>
      <c r="T79" s="187">
        <f t="shared" ca="1" si="12"/>
        <v>24653750.916844547</v>
      </c>
      <c r="U79" s="187">
        <f ca="1">IF(C79="","",IF(C79&lt;-1,0,IF(C79=anal_period,-LOOKUP(C79,depr_yr,depr_cost)-Depreciation!$C$141-Depreciation!$B$166,-LOOKUP(C79,depr_yr,depr_cost))))</f>
        <v>-13448431.106433887</v>
      </c>
      <c r="V79" s="187">
        <f t="shared" ca="1" si="13"/>
        <v>11205319.81041066</v>
      </c>
      <c r="W79" s="188">
        <f t="shared" si="14"/>
        <v>0.25739999999999996</v>
      </c>
      <c r="X79" s="187">
        <f t="shared" ca="1" si="15"/>
        <v>-2884249.3191997032</v>
      </c>
      <c r="Y79" s="187">
        <f t="shared" ca="1" si="16"/>
        <v>21769501.597644843</v>
      </c>
      <c r="Z79" s="187">
        <f>IF(C79="","",IF($B$31=0,"",-'Debt Financing Calculations'!F28))</f>
        <v>0</v>
      </c>
      <c r="AA79" s="187">
        <f t="shared" ca="1" si="17"/>
        <v>18968644.636465061</v>
      </c>
      <c r="AB79" s="187">
        <f t="shared" ca="1" si="23"/>
        <v>99198492.475257888</v>
      </c>
      <c r="AC79" s="1156">
        <f t="shared" ca="1" si="18"/>
        <v>21852893.955664765</v>
      </c>
      <c r="AD79" s="134"/>
      <c r="AE79" s="1160">
        <f t="shared" ca="1" si="19"/>
        <v>124628629.5</v>
      </c>
      <c r="AF79" s="1156">
        <f t="shared" si="20"/>
        <v>0</v>
      </c>
    </row>
    <row r="80" spans="1:32" x14ac:dyDescent="0.25">
      <c r="A80" s="58">
        <f t="shared" si="21"/>
        <v>2052</v>
      </c>
      <c r="B80" s="185">
        <f>IF(MAX($B$65:B79)&lt;(construct+anal_period),B79+1,"")</f>
        <v>16</v>
      </c>
      <c r="C80" s="185">
        <f t="shared" si="22"/>
        <v>13</v>
      </c>
      <c r="D80" s="185">
        <f t="shared" si="1"/>
        <v>13</v>
      </c>
      <c r="E80" s="186">
        <f t="shared" si="2"/>
        <v>1.253401494152226</v>
      </c>
      <c r="F80" s="59">
        <f t="shared" ca="1" si="3"/>
        <v>322915385.65217435</v>
      </c>
      <c r="G80" s="1169"/>
      <c r="H80" s="1178">
        <f t="shared" si="24"/>
        <v>0</v>
      </c>
      <c r="I80" s="187">
        <f ca="1">IF(OR(C80&lt;0,C80=""),"",-E80*INDEX('Replacement Costs'!$A$16:$H$57,MATCH(C80,'Replacement Costs'!$C$16:$C$57,0),MATCH("Total Yearly Replacement Costs",'Replacement Costs'!$A$16:$H$16,0)))</f>
        <v>-1830888.5194709534</v>
      </c>
      <c r="J80" s="187">
        <f ca="1">IF(AND(C80&gt;=1,C80&lt;anal_period),WorkingCap*SUM(N80:R80)-WorkingCap*SUM(N79:R79),IF(C80&lt;0,0,IF(B80="","",-SUM(J$65:J79))))</f>
        <v>-1028301.9019467011</v>
      </c>
      <c r="K80" s="187" t="str">
        <f t="shared" si="4"/>
        <v/>
      </c>
      <c r="L80" s="187" t="str">
        <f t="shared" si="5"/>
        <v/>
      </c>
      <c r="M80" s="187" t="str">
        <f t="shared" si="6"/>
        <v/>
      </c>
      <c r="N80" s="187">
        <f t="shared" ca="1" si="7"/>
        <v>-14570192.269868165</v>
      </c>
      <c r="O80" s="187">
        <f t="shared" ca="1" si="8"/>
        <v>-254782974.46196029</v>
      </c>
      <c r="P80" s="187">
        <f t="shared" ca="1" si="9"/>
        <v>0</v>
      </c>
      <c r="Q80" s="187">
        <f t="shared" ca="1" si="10"/>
        <v>0</v>
      </c>
      <c r="R80" s="187">
        <f t="shared" ca="1" si="11"/>
        <v>-23613220.891634379</v>
      </c>
      <c r="S80" s="187">
        <f ca="1">IF(B80="","",IF($B$31=0,"",-'Debt Financing Calculations'!E29))</f>
        <v>-6129599.6730380133</v>
      </c>
      <c r="T80" s="187">
        <f t="shared" ca="1" si="12"/>
        <v>23819398.355673492</v>
      </c>
      <c r="U80" s="187">
        <f ca="1">IF(C80="","",IF(C80&lt;-1,0,IF(C80=anal_period,-LOOKUP(C80,depr_yr,depr_cost)-Depreciation!$C$141-Depreciation!$B$166,-LOOKUP(C80,depr_yr,depr_cost))))</f>
        <v>-13535673.822718328</v>
      </c>
      <c r="V80" s="187">
        <f t="shared" ca="1" si="13"/>
        <v>10283724.532955164</v>
      </c>
      <c r="W80" s="188">
        <f t="shared" si="14"/>
        <v>0.25739999999999996</v>
      </c>
      <c r="X80" s="187">
        <f t="shared" ca="1" si="15"/>
        <v>-2647030.6947826589</v>
      </c>
      <c r="Y80" s="187">
        <f t="shared" ca="1" si="16"/>
        <v>21172367.660890833</v>
      </c>
      <c r="Z80" s="187">
        <f>IF(C80="","",IF($B$31=0,"",-'Debt Financing Calculations'!F29))</f>
        <v>0</v>
      </c>
      <c r="AA80" s="187">
        <f t="shared" ca="1" si="17"/>
        <v>18313177.239473179</v>
      </c>
      <c r="AB80" s="187">
        <f t="shared" ca="1" si="23"/>
        <v>117511669.71473107</v>
      </c>
      <c r="AC80" s="1156">
        <f t="shared" ca="1" si="18"/>
        <v>20960207.934255838</v>
      </c>
      <c r="AD80" s="134"/>
      <c r="AE80" s="1160">
        <f t="shared" ca="1" si="19"/>
        <v>124628629.5</v>
      </c>
      <c r="AF80" s="1156">
        <f t="shared" si="20"/>
        <v>0</v>
      </c>
    </row>
    <row r="81" spans="1:32" x14ac:dyDescent="0.25">
      <c r="A81" s="58">
        <f t="shared" si="21"/>
        <v>2053</v>
      </c>
      <c r="B81" s="185">
        <f>IF(MAX($B$65:B80)&lt;(construct+anal_period),B80+1,"")</f>
        <v>17</v>
      </c>
      <c r="C81" s="185">
        <f t="shared" si="22"/>
        <v>14</v>
      </c>
      <c r="D81" s="185">
        <f t="shared" si="1"/>
        <v>14</v>
      </c>
      <c r="E81" s="186">
        <f t="shared" si="2"/>
        <v>1.277216122541118</v>
      </c>
      <c r="F81" s="59">
        <f t="shared" ca="1" si="3"/>
        <v>329050777.97956556</v>
      </c>
      <c r="G81" s="1169"/>
      <c r="H81" s="1178">
        <f t="shared" si="24"/>
        <v>0</v>
      </c>
      <c r="I81" s="187">
        <f ca="1">IF(OR(C81&lt;0,C81=""),"",-E81*INDEX('Replacement Costs'!$A$16:$H$57,MATCH(C81,'Replacement Costs'!$C$16:$C$57,0),MATCH("Total Yearly Replacement Costs",'Replacement Costs'!$A$16:$H$16,0)))</f>
        <v>-1865675.4013409009</v>
      </c>
      <c r="J81" s="187">
        <f ca="1">IF(AND(C81&gt;=1,C81&lt;anal_period),WorkingCap*SUM(N81:R81)-WorkingCap*SUM(N80:R80),IF(C81&lt;0,0,IF(B81="","",-SUM(J$65:J80))))</f>
        <v>-1053082.8832655549</v>
      </c>
      <c r="K81" s="187" t="str">
        <f t="shared" si="4"/>
        <v/>
      </c>
      <c r="L81" s="187" t="str">
        <f t="shared" si="5"/>
        <v/>
      </c>
      <c r="M81" s="187" t="str">
        <f t="shared" si="6"/>
        <v/>
      </c>
      <c r="N81" s="187">
        <f t="shared" ca="1" si="7"/>
        <v>-14847025.922995657</v>
      </c>
      <c r="O81" s="187">
        <f t="shared" ca="1" si="8"/>
        <v>-261067188.58415514</v>
      </c>
      <c r="P81" s="187">
        <f t="shared" ca="1" si="9"/>
        <v>0</v>
      </c>
      <c r="Q81" s="187">
        <f t="shared" ca="1" si="10"/>
        <v>0</v>
      </c>
      <c r="R81" s="187">
        <f t="shared" ca="1" si="11"/>
        <v>-24072725.67141572</v>
      </c>
      <c r="S81" s="187">
        <f ca="1">IF(B81="","",IF($B$31=0,"",-'Debt Financing Calculations'!E30))</f>
        <v>-6129599.6730380133</v>
      </c>
      <c r="T81" s="187">
        <f t="shared" ca="1" si="12"/>
        <v>22934238.12796104</v>
      </c>
      <c r="U81" s="187">
        <f ca="1">IF(C81="","",IF(C81&lt;-1,0,IF(C81=anal_period,-LOOKUP(C81,depr_yr,depr_cost)-Depreciation!$C$141-Depreciation!$B$166,-LOOKUP(C81,depr_yr,depr_cost))))</f>
        <v>-13618932.128014455</v>
      </c>
      <c r="V81" s="187">
        <f t="shared" ca="1" si="13"/>
        <v>9315305.9999465849</v>
      </c>
      <c r="W81" s="188">
        <f t="shared" si="14"/>
        <v>0.25739999999999996</v>
      </c>
      <c r="X81" s="187">
        <f t="shared" ca="1" si="15"/>
        <v>-2397759.7643862506</v>
      </c>
      <c r="Y81" s="187">
        <f t="shared" ca="1" si="16"/>
        <v>20536478.363574788</v>
      </c>
      <c r="Z81" s="187">
        <f>IF(C81="","",IF($B$31=0,"",-'Debt Financing Calculations'!F30))</f>
        <v>0</v>
      </c>
      <c r="AA81" s="187">
        <f t="shared" ca="1" si="17"/>
        <v>17617720.078968331</v>
      </c>
      <c r="AB81" s="187">
        <f t="shared" ca="1" si="23"/>
        <v>135129389.79369938</v>
      </c>
      <c r="AC81" s="1156">
        <f t="shared" ca="1" si="18"/>
        <v>20015479.843354583</v>
      </c>
      <c r="AD81" s="134"/>
      <c r="AE81" s="1160">
        <f t="shared" ca="1" si="19"/>
        <v>124628629.5</v>
      </c>
      <c r="AF81" s="1156">
        <f t="shared" si="20"/>
        <v>0</v>
      </c>
    </row>
    <row r="82" spans="1:32" x14ac:dyDescent="0.25">
      <c r="A82" s="58">
        <f t="shared" si="21"/>
        <v>2054</v>
      </c>
      <c r="B82" s="185">
        <f>IF(MAX($B$65:B81)&lt;(construct+anal_period),B81+1,"")</f>
        <v>18</v>
      </c>
      <c r="C82" s="185">
        <f t="shared" si="22"/>
        <v>15</v>
      </c>
      <c r="D82" s="185">
        <f t="shared" si="1"/>
        <v>15</v>
      </c>
      <c r="E82" s="186">
        <f t="shared" si="2"/>
        <v>1.3014832288693996</v>
      </c>
      <c r="F82" s="59">
        <f t="shared" ca="1" si="3"/>
        <v>335302742.76117742</v>
      </c>
      <c r="G82" s="1169"/>
      <c r="H82" s="1178">
        <f t="shared" si="24"/>
        <v>0</v>
      </c>
      <c r="I82" s="187">
        <f ca="1">IF(OR(C82&lt;0,C82=""),"",-E82*INDEX('Replacement Costs'!$A$16:$H$57,MATCH(C82,'Replacement Costs'!$C$16:$C$57,0),MATCH("Total Yearly Replacement Costs",'Replacement Costs'!$A$16:$H$16,0)))</f>
        <v>-1901123.2339663785</v>
      </c>
      <c r="J82" s="187">
        <f ca="1">IF(AND(C82&gt;=1,C82&lt;anal_period),WorkingCap*SUM(N82:R82)-WorkingCap*SUM(N81:R81),IF(C82&lt;0,0,IF(B82="","",-SUM(J$65:J81))))</f>
        <v>-1078463.8769342378</v>
      </c>
      <c r="K82" s="187" t="str">
        <f t="shared" si="4"/>
        <v/>
      </c>
      <c r="L82" s="187" t="str">
        <f t="shared" si="5"/>
        <v/>
      </c>
      <c r="M82" s="187" t="str">
        <f t="shared" si="6"/>
        <v/>
      </c>
      <c r="N82" s="187">
        <f t="shared" ca="1" si="7"/>
        <v>-15129119.415532578</v>
      </c>
      <c r="O82" s="187">
        <f t="shared" ca="1" si="8"/>
        <v>-267506402.65176243</v>
      </c>
      <c r="P82" s="187">
        <f t="shared" ca="1" si="9"/>
        <v>0</v>
      </c>
      <c r="Q82" s="187">
        <f t="shared" ca="1" si="10"/>
        <v>0</v>
      </c>
      <c r="R82" s="187">
        <f t="shared" ca="1" si="11"/>
        <v>-24541177.290833101</v>
      </c>
      <c r="S82" s="187">
        <f ca="1">IF(B82="","",IF($B$31=0,"",-'Debt Financing Calculations'!E31))</f>
        <v>-6129599.6730380133</v>
      </c>
      <c r="T82" s="187">
        <f t="shared" ca="1" si="12"/>
        <v>21996443.730011284</v>
      </c>
      <c r="U82" s="187">
        <f ca="1">IF(C82="","",IF(C82&lt;-1,0,IF(C82=anal_period,-LOOKUP(C82,depr_yr,depr_cost)-Depreciation!$C$141-Depreciation!$B$166,-LOOKUP(C82,depr_yr,depr_cost))))</f>
        <v>-13709414.36370893</v>
      </c>
      <c r="V82" s="187">
        <f t="shared" ca="1" si="13"/>
        <v>8287029.3663023543</v>
      </c>
      <c r="W82" s="188">
        <f t="shared" si="14"/>
        <v>0.25739999999999996</v>
      </c>
      <c r="X82" s="187">
        <f t="shared" ca="1" si="15"/>
        <v>-2133081.3588862256</v>
      </c>
      <c r="Y82" s="187">
        <f t="shared" ca="1" si="16"/>
        <v>19863362.371125057</v>
      </c>
      <c r="Z82" s="187">
        <f>IF(C82="","",IF($B$31=0,"",-'Debt Financing Calculations'!F31))</f>
        <v>0</v>
      </c>
      <c r="AA82" s="187">
        <f t="shared" ca="1" si="17"/>
        <v>16883775.260224439</v>
      </c>
      <c r="AB82" s="187">
        <f t="shared" ca="1" si="23"/>
        <v>152013165.05392382</v>
      </c>
      <c r="AC82" s="1156">
        <f t="shared" ca="1" si="18"/>
        <v>19016856.619110666</v>
      </c>
      <c r="AD82" s="134"/>
      <c r="AE82" s="1160">
        <f t="shared" ca="1" si="19"/>
        <v>124628629.5</v>
      </c>
      <c r="AF82" s="1156">
        <f t="shared" si="20"/>
        <v>0</v>
      </c>
    </row>
    <row r="83" spans="1:32" x14ac:dyDescent="0.25">
      <c r="A83" s="58">
        <f t="shared" si="21"/>
        <v>2055</v>
      </c>
      <c r="B83" s="185">
        <f>IF(MAX($B$65:B82)&lt;(construct+anal_period),B82+1,"")</f>
        <v>19</v>
      </c>
      <c r="C83" s="185">
        <f t="shared" si="22"/>
        <v>16</v>
      </c>
      <c r="D83" s="185">
        <f t="shared" si="1"/>
        <v>16</v>
      </c>
      <c r="E83" s="186">
        <f t="shared" si="2"/>
        <v>1.3262114102179181</v>
      </c>
      <c r="F83" s="59">
        <f t="shared" ca="1" si="3"/>
        <v>341673494.87363976</v>
      </c>
      <c r="G83" s="1169"/>
      <c r="H83" s="1178">
        <f t="shared" si="24"/>
        <v>0</v>
      </c>
      <c r="I83" s="187">
        <f ca="1">IF(OR(C83&lt;0,C83=""),"",-E83*INDEX('Replacement Costs'!$A$16:$H$57,MATCH(C83,'Replacement Costs'!$C$16:$C$57,0),MATCH("Total Yearly Replacement Costs",'Replacement Costs'!$A$16:$H$16,0)))</f>
        <v>-1937244.5754117395</v>
      </c>
      <c r="J83" s="187">
        <f ca="1">IF(AND(C83&gt;=1,C83&lt;anal_period),WorkingCap*SUM(N83:R83)-WorkingCap*SUM(N82:R82),IF(C83&lt;0,0,IF(B83="","",-SUM(J$65:J82))))</f>
        <v>-1104459.4662486911</v>
      </c>
      <c r="K83" s="187" t="str">
        <f t="shared" si="4"/>
        <v/>
      </c>
      <c r="L83" s="187" t="str">
        <f t="shared" si="5"/>
        <v/>
      </c>
      <c r="M83" s="187" t="str">
        <f t="shared" si="6"/>
        <v/>
      </c>
      <c r="N83" s="187">
        <f t="shared" ca="1" si="7"/>
        <v>-15416572.684427697</v>
      </c>
      <c r="O83" s="187">
        <f t="shared" ca="1" si="8"/>
        <v>-274104439.73360342</v>
      </c>
      <c r="P83" s="187">
        <f t="shared" ca="1" si="9"/>
        <v>0</v>
      </c>
      <c r="Q83" s="187">
        <f t="shared" ca="1" si="10"/>
        <v>0</v>
      </c>
      <c r="R83" s="187">
        <f t="shared" ca="1" si="11"/>
        <v>-25018750.04842164</v>
      </c>
      <c r="S83" s="187">
        <f ca="1">IF(B83="","",IF($B$31=0,"",-'Debt Financing Calculations'!E32))</f>
        <v>-6129599.6730380133</v>
      </c>
      <c r="T83" s="187">
        <f t="shared" ca="1" si="12"/>
        <v>21004132.734149039</v>
      </c>
      <c r="U83" s="187">
        <f ca="1">IF(C83="","",IF(C83&lt;-1,0,IF(C83=anal_period,-LOOKUP(C83,depr_yr,depr_cost)-Depreciation!$C$141-Depreciation!$B$166,-LOOKUP(C83,depr_yr,depr_cost))))</f>
        <v>-13795973.739283869</v>
      </c>
      <c r="V83" s="187">
        <f t="shared" ca="1" si="13"/>
        <v>7208158.9948651697</v>
      </c>
      <c r="W83" s="188">
        <f t="shared" si="14"/>
        <v>0.25739999999999996</v>
      </c>
      <c r="X83" s="187">
        <f t="shared" ca="1" si="15"/>
        <v>-1855380.1252782943</v>
      </c>
      <c r="Y83" s="187">
        <f t="shared" ca="1" si="16"/>
        <v>19148752.608870745</v>
      </c>
      <c r="Z83" s="187">
        <f>IF(C83="","",IF($B$31=0,"",-'Debt Financing Calculations'!F32))</f>
        <v>0</v>
      </c>
      <c r="AA83" s="187">
        <f t="shared" ca="1" si="17"/>
        <v>16107048.567210313</v>
      </c>
      <c r="AB83" s="187">
        <f t="shared" ca="1" si="23"/>
        <v>168120213.62113413</v>
      </c>
      <c r="AC83" s="1156">
        <f t="shared" ca="1" si="18"/>
        <v>17962428.692488607</v>
      </c>
      <c r="AD83" s="134"/>
      <c r="AE83" s="1160">
        <f t="shared" ca="1" si="19"/>
        <v>124628629.5</v>
      </c>
      <c r="AF83" s="1156">
        <f t="shared" si="20"/>
        <v>0</v>
      </c>
    </row>
    <row r="84" spans="1:32" x14ac:dyDescent="0.25">
      <c r="A84" s="58">
        <f t="shared" si="21"/>
        <v>2056</v>
      </c>
      <c r="B84" s="185">
        <f>IF(MAX($B$65:B83)&lt;(construct+anal_period),B83+1,"")</f>
        <v>20</v>
      </c>
      <c r="C84" s="185">
        <f t="shared" si="22"/>
        <v>17</v>
      </c>
      <c r="D84" s="185">
        <f t="shared" si="1"/>
        <v>17</v>
      </c>
      <c r="E84" s="186">
        <f t="shared" si="2"/>
        <v>1.3514094270120585</v>
      </c>
      <c r="F84" s="59">
        <f t="shared" ca="1" si="3"/>
        <v>348165291.27623892</v>
      </c>
      <c r="G84" s="1169"/>
      <c r="H84" s="1178">
        <f t="shared" si="24"/>
        <v>0</v>
      </c>
      <c r="I84" s="187">
        <f ca="1">IF(OR(C84&lt;0,C84=""),"",-E84*INDEX('Replacement Costs'!$A$16:$H$57,MATCH(C84,'Replacement Costs'!$C$16:$C$57,0),MATCH("Total Yearly Replacement Costs",'Replacement Costs'!$A$16:$H$16,0)))</f>
        <v>-1974052.2223445626</v>
      </c>
      <c r="J84" s="187">
        <f ca="1">IF(AND(C84&gt;=1,C84&lt;anal_period),WorkingCap*SUM(N84:R84)-WorkingCap*SUM(N83:R83),IF(C84&lt;0,0,IF(B84="","",-SUM(J$65:J83))))</f>
        <v>-1123215.0478624105</v>
      </c>
      <c r="K84" s="187" t="str">
        <f t="shared" si="4"/>
        <v/>
      </c>
      <c r="L84" s="187" t="str">
        <f t="shared" si="5"/>
        <v/>
      </c>
      <c r="M84" s="187" t="str">
        <f t="shared" si="6"/>
        <v/>
      </c>
      <c r="N84" s="187">
        <f t="shared" ca="1" si="7"/>
        <v>-15709487.565431822</v>
      </c>
      <c r="O84" s="187">
        <f t="shared" ca="1" si="8"/>
        <v>-280811626.71614361</v>
      </c>
      <c r="P84" s="187">
        <f t="shared" ca="1" si="9"/>
        <v>0</v>
      </c>
      <c r="Q84" s="187">
        <f t="shared" ca="1" si="10"/>
        <v>0</v>
      </c>
      <c r="R84" s="187">
        <f t="shared" ca="1" si="11"/>
        <v>-25506748.503960043</v>
      </c>
      <c r="S84" s="187">
        <f ca="1">IF(B84="","",IF($B$31=0,"",-'Debt Financing Calculations'!E33))</f>
        <v>-6129599.6730380133</v>
      </c>
      <c r="T84" s="187">
        <f t="shared" ca="1" si="12"/>
        <v>20007828.817665458</v>
      </c>
      <c r="U84" s="187">
        <f ca="1">IF(C84="","",IF(C84&lt;-1,0,IF(C84=anal_period,-LOOKUP(C84,depr_yr,depr_cost)-Depreciation!$C$141-Depreciation!$B$166,-LOOKUP(C84,depr_yr,depr_cost))))</f>
        <v>-13889819.765592465</v>
      </c>
      <c r="V84" s="187">
        <f t="shared" ca="1" si="13"/>
        <v>6118009.0520729925</v>
      </c>
      <c r="W84" s="188">
        <f t="shared" si="14"/>
        <v>0.25739999999999996</v>
      </c>
      <c r="X84" s="187">
        <f t="shared" ca="1" si="15"/>
        <v>-1574775.5300035879</v>
      </c>
      <c r="Y84" s="187">
        <f t="shared" ca="1" si="16"/>
        <v>18433053.287661869</v>
      </c>
      <c r="Z84" s="187">
        <f>IF(C84="","",IF($B$31=0,"",-'Debt Financing Calculations'!F33))</f>
        <v>0</v>
      </c>
      <c r="AA84" s="187">
        <f t="shared" ca="1" si="17"/>
        <v>15335786.017454896</v>
      </c>
      <c r="AB84" s="187">
        <f t="shared" ca="1" si="23"/>
        <v>183455999.63858902</v>
      </c>
      <c r="AC84" s="1156">
        <f t="shared" ca="1" si="18"/>
        <v>16910561.547458485</v>
      </c>
      <c r="AD84" s="134"/>
      <c r="AE84" s="1160">
        <f t="shared" ca="1" si="19"/>
        <v>124628629.5</v>
      </c>
      <c r="AF84" s="1156">
        <f t="shared" si="20"/>
        <v>0</v>
      </c>
    </row>
    <row r="85" spans="1:32" x14ac:dyDescent="0.25">
      <c r="A85" s="58">
        <f t="shared" si="21"/>
        <v>2057</v>
      </c>
      <c r="B85" s="185">
        <f>IF(MAX($B$65:B84)&lt;(construct+anal_period),B84+1,"")</f>
        <v>21</v>
      </c>
      <c r="C85" s="185">
        <f t="shared" si="22"/>
        <v>18</v>
      </c>
      <c r="D85" s="185">
        <f t="shared" si="1"/>
        <v>18</v>
      </c>
      <c r="E85" s="186">
        <f t="shared" si="2"/>
        <v>1.3770862061252875</v>
      </c>
      <c r="F85" s="59">
        <f t="shared" ca="1" si="3"/>
        <v>354780431.81048745</v>
      </c>
      <c r="G85" s="1169"/>
      <c r="H85" s="1178">
        <f t="shared" si="24"/>
        <v>0</v>
      </c>
      <c r="I85" s="187">
        <f ca="1">IF(OR(C85&lt;0,C85=""),"",-E85*INDEX('Replacement Costs'!$A$16:$H$57,MATCH(C85,'Replacement Costs'!$C$16:$C$57,0),MATCH("Total Yearly Replacement Costs",'Replacement Costs'!$A$16:$H$16,0)))</f>
        <v>-2011559.2145691093</v>
      </c>
      <c r="J85" s="187">
        <f ca="1">IF(AND(C85&gt;=1,C85&lt;anal_period),WorkingCap*SUM(N85:R85)-WorkingCap*SUM(N84:R84),IF(C85&lt;0,0,IF(B85="","",-SUM(J$65:J84))))</f>
        <v>-1150096.7894050479</v>
      </c>
      <c r="K85" s="187" t="str">
        <f t="shared" si="4"/>
        <v/>
      </c>
      <c r="L85" s="187" t="str">
        <f t="shared" si="5"/>
        <v/>
      </c>
      <c r="M85" s="187" t="str">
        <f t="shared" si="6"/>
        <v/>
      </c>
      <c r="N85" s="187">
        <f t="shared" ca="1" si="7"/>
        <v>-16007967.829175025</v>
      </c>
      <c r="O85" s="187">
        <f t="shared" ca="1" si="8"/>
        <v>-287682934.9265722</v>
      </c>
      <c r="P85" s="187">
        <f t="shared" ca="1" si="9"/>
        <v>0</v>
      </c>
      <c r="Q85" s="187">
        <f t="shared" ca="1" si="10"/>
        <v>0</v>
      </c>
      <c r="R85" s="187">
        <f t="shared" ca="1" si="11"/>
        <v>-26004271.959155258</v>
      </c>
      <c r="S85" s="187">
        <f ca="1">IF(B85="","",IF($B$31=0,"",-'Debt Financing Calculations'!E34))</f>
        <v>-6129599.6730380133</v>
      </c>
      <c r="T85" s="187">
        <f t="shared" ca="1" si="12"/>
        <v>18955657.422546983</v>
      </c>
      <c r="U85" s="187">
        <f ca="1">IF(C85="","",IF(C85&lt;-1,0,IF(C85=anal_period,-LOOKUP(C85,depr_yr,depr_cost)-Depreciation!$C$141-Depreciation!$B$166,-LOOKUP(C85,depr_yr,depr_cost))))</f>
        <v>-13979806.843803197</v>
      </c>
      <c r="V85" s="187">
        <f t="shared" ca="1" si="13"/>
        <v>4975850.5787437856</v>
      </c>
      <c r="W85" s="188">
        <f t="shared" si="14"/>
        <v>0.25739999999999996</v>
      </c>
      <c r="X85" s="187">
        <f t="shared" ca="1" si="15"/>
        <v>-1280783.9389686503</v>
      </c>
      <c r="Y85" s="187">
        <f t="shared" ca="1" si="16"/>
        <v>17674873.483578332</v>
      </c>
      <c r="Z85" s="187">
        <f>IF(C85="","",IF($B$31=0,"",-'Debt Financing Calculations'!F34))</f>
        <v>0</v>
      </c>
      <c r="AA85" s="187">
        <f t="shared" ca="1" si="17"/>
        <v>14513217.479604173</v>
      </c>
      <c r="AB85" s="187">
        <f t="shared" ca="1" si="23"/>
        <v>197969217.11819321</v>
      </c>
      <c r="AC85" s="1156">
        <f t="shared" ca="1" si="18"/>
        <v>15794001.418572824</v>
      </c>
      <c r="AD85" s="134"/>
      <c r="AE85" s="1160">
        <f t="shared" ca="1" si="19"/>
        <v>124628629.5</v>
      </c>
      <c r="AF85" s="1156">
        <f t="shared" si="20"/>
        <v>0</v>
      </c>
    </row>
    <row r="86" spans="1:32" x14ac:dyDescent="0.25">
      <c r="A86" s="58">
        <f t="shared" si="21"/>
        <v>2058</v>
      </c>
      <c r="B86" s="185">
        <f>IF(MAX($B$65:B85)&lt;(construct+anal_period),B85+1,"")</f>
        <v>22</v>
      </c>
      <c r="C86" s="185">
        <f t="shared" si="22"/>
        <v>19</v>
      </c>
      <c r="D86" s="185">
        <f t="shared" si="1"/>
        <v>19</v>
      </c>
      <c r="E86" s="186">
        <f t="shared" si="2"/>
        <v>1.4032508440416678</v>
      </c>
      <c r="F86" s="59">
        <f t="shared" ca="1" si="3"/>
        <v>361521260.01488662</v>
      </c>
      <c r="G86" s="1169"/>
      <c r="H86" s="1178">
        <f t="shared" si="24"/>
        <v>0</v>
      </c>
      <c r="I86" s="187">
        <f ca="1">IF(OR(C86&lt;0,C86=""),"",-E86*INDEX('Replacement Costs'!$A$16:$H$57,MATCH(C86,'Replacement Costs'!$C$16:$C$57,0),MATCH("Total Yearly Replacement Costs",'Replacement Costs'!$A$16:$H$16,0)))</f>
        <v>-2049778.839645922</v>
      </c>
      <c r="J86" s="187">
        <f ca="1">IF(AND(C86&gt;=1,C86&lt;anal_period),WorkingCap*SUM(N86:R86)-WorkingCap*SUM(N85:R85),IF(C86&lt;0,0,IF(B86="","",-SUM(J$65:J85))))</f>
        <v>-1177624.6917952076</v>
      </c>
      <c r="K86" s="187" t="str">
        <f t="shared" si="4"/>
        <v/>
      </c>
      <c r="L86" s="187" t="str">
        <f t="shared" si="5"/>
        <v/>
      </c>
      <c r="M86" s="187" t="str">
        <f t="shared" si="6"/>
        <v/>
      </c>
      <c r="N86" s="187">
        <f t="shared" ca="1" si="7"/>
        <v>-16312119.217929348</v>
      </c>
      <c r="O86" s="187">
        <f t="shared" ca="1" si="8"/>
        <v>-294722380.32232618</v>
      </c>
      <c r="P86" s="187">
        <f t="shared" ca="1" si="9"/>
        <v>0</v>
      </c>
      <c r="Q86" s="187">
        <f t="shared" ca="1" si="10"/>
        <v>0</v>
      </c>
      <c r="R86" s="187">
        <f t="shared" ca="1" si="11"/>
        <v>-26511506.453281671</v>
      </c>
      <c r="S86" s="187">
        <f ca="1">IF(B86="","",IF($B$31=0,"",-'Debt Financing Calculations'!E35))</f>
        <v>-6129599.6730380133</v>
      </c>
      <c r="T86" s="187">
        <f t="shared" ca="1" si="12"/>
        <v>17845654.348311424</v>
      </c>
      <c r="U86" s="187">
        <f ca="1">IF(C86="","",IF(C86&lt;-1,0,IF(C86=anal_period,-LOOKUP(C86,depr_yr,depr_cost)-Depreciation!$C$141-Depreciation!$B$166,-LOOKUP(C86,depr_yr,depr_cost))))</f>
        <v>-14077145.699097659</v>
      </c>
      <c r="V86" s="187">
        <f t="shared" ca="1" si="13"/>
        <v>3768508.6492137648</v>
      </c>
      <c r="W86" s="188">
        <f t="shared" si="14"/>
        <v>0.25739999999999996</v>
      </c>
      <c r="X86" s="187">
        <f t="shared" ca="1" si="15"/>
        <v>-970014.12630762288</v>
      </c>
      <c r="Y86" s="187">
        <f t="shared" ca="1" si="16"/>
        <v>16875640.222003803</v>
      </c>
      <c r="Z86" s="187">
        <f>IF(C86="","",IF($B$31=0,"",-'Debt Financing Calculations'!F35))</f>
        <v>0</v>
      </c>
      <c r="AA86" s="187">
        <f t="shared" ca="1" si="17"/>
        <v>13648236.690562671</v>
      </c>
      <c r="AB86" s="187">
        <f t="shared" ca="1" si="23"/>
        <v>211617453.80875587</v>
      </c>
      <c r="AC86" s="1156">
        <f t="shared" ca="1" si="18"/>
        <v>14618250.816870295</v>
      </c>
      <c r="AD86" s="134"/>
      <c r="AE86" s="1160">
        <f t="shared" ca="1" si="19"/>
        <v>124628629.5</v>
      </c>
      <c r="AF86" s="1156">
        <f t="shared" si="20"/>
        <v>0</v>
      </c>
    </row>
    <row r="87" spans="1:32" x14ac:dyDescent="0.25">
      <c r="A87" s="58">
        <f t="shared" si="21"/>
        <v>2059</v>
      </c>
      <c r="B87" s="185">
        <f>IF(MAX($B$65:B86)&lt;(construct+anal_period),B86+1,"")</f>
        <v>23</v>
      </c>
      <c r="C87" s="185">
        <f t="shared" si="22"/>
        <v>20</v>
      </c>
      <c r="D87" s="185">
        <f t="shared" si="1"/>
        <v>20</v>
      </c>
      <c r="E87" s="186">
        <f t="shared" si="2"/>
        <v>1.4299126100784596</v>
      </c>
      <c r="F87" s="59">
        <f t="shared" ca="1" si="3"/>
        <v>368390163.9551695</v>
      </c>
      <c r="G87" s="1169"/>
      <c r="H87" s="1178">
        <f t="shared" si="24"/>
        <v>0</v>
      </c>
      <c r="I87" s="187">
        <f ca="1">IF(OR(C87&lt;0,C87=""),"",-E87*INDEX('Replacement Costs'!$A$16:$H$57,MATCH(C87,'Replacement Costs'!$C$16:$C$57,0),MATCH("Total Yearly Replacement Costs",'Replacement Costs'!$A$16:$H$16,0)))</f>
        <v>-2088724.6375991947</v>
      </c>
      <c r="J87" s="187">
        <f ca="1">IF(AND(C87&gt;=1,C87&lt;anal_period),WorkingCap*SUM(N87:R87)-WorkingCap*SUM(N86:R86),IF(C87&lt;0,0,IF(B87="","",-SUM(J$65:J86))))</f>
        <v>-1205814.3420593366</v>
      </c>
      <c r="K87" s="187" t="str">
        <f t="shared" si="4"/>
        <v/>
      </c>
      <c r="L87" s="187" t="str">
        <f t="shared" si="5"/>
        <v/>
      </c>
      <c r="M87" s="187" t="str">
        <f t="shared" si="6"/>
        <v/>
      </c>
      <c r="N87" s="187">
        <f t="shared" ca="1" si="7"/>
        <v>-16622049.483070008</v>
      </c>
      <c r="O87" s="187">
        <f t="shared" ca="1" si="8"/>
        <v>-301934077.12914312</v>
      </c>
      <c r="P87" s="187">
        <f t="shared" ca="1" si="9"/>
        <v>0</v>
      </c>
      <c r="Q87" s="187">
        <f t="shared" ca="1" si="10"/>
        <v>0</v>
      </c>
      <c r="R87" s="187">
        <f t="shared" ca="1" si="11"/>
        <v>-27028641.661719613</v>
      </c>
      <c r="S87" s="187">
        <f ca="1">IF(B87="","",IF($B$31=0,"",-'Debt Financing Calculations'!E36))</f>
        <v>-6129599.6730380133</v>
      </c>
      <c r="T87" s="187">
        <f t="shared" ca="1" si="12"/>
        <v>16675796.008198738</v>
      </c>
      <c r="U87" s="187">
        <f ca="1">IF(C87="","",IF(C87&lt;-1,0,IF(C87=anal_period,-LOOKUP(C87,depr_yr,depr_cost)-Depreciation!$C$141-Depreciation!$B$166,-LOOKUP(C87,depr_yr,depr_cost))))</f>
        <v>-14170691.970044987</v>
      </c>
      <c r="V87" s="187">
        <f t="shared" ca="1" si="13"/>
        <v>2505104.0381537508</v>
      </c>
      <c r="W87" s="188">
        <f t="shared" si="14"/>
        <v>0.25739999999999996</v>
      </c>
      <c r="X87" s="187">
        <f t="shared" ca="1" si="15"/>
        <v>-644813.77942077536</v>
      </c>
      <c r="Y87" s="187">
        <f t="shared" ca="1" si="16"/>
        <v>16030982.228777964</v>
      </c>
      <c r="Z87" s="187">
        <f>IF(C87="","",IF($B$31=0,"",-'Debt Financing Calculations'!F36))</f>
        <v>0</v>
      </c>
      <c r="AA87" s="187">
        <f t="shared" ca="1" si="17"/>
        <v>12736443.249119431</v>
      </c>
      <c r="AB87" s="187">
        <f t="shared" ca="1" si="23"/>
        <v>224353897.05787531</v>
      </c>
      <c r="AC87" s="1156">
        <f t="shared" ca="1" si="18"/>
        <v>13381257.028540207</v>
      </c>
      <c r="AD87" s="134"/>
      <c r="AE87" s="1160">
        <f t="shared" ca="1" si="19"/>
        <v>124628629.5</v>
      </c>
      <c r="AF87" s="1156">
        <f t="shared" si="20"/>
        <v>0</v>
      </c>
    </row>
    <row r="88" spans="1:32" x14ac:dyDescent="0.25">
      <c r="A88" s="58">
        <f t="shared" si="21"/>
        <v>2060</v>
      </c>
      <c r="B88" s="185">
        <f>IF(MAX($B$65:B87)&lt;(construct+anal_period),B87+1,"")</f>
        <v>24</v>
      </c>
      <c r="C88" s="185">
        <f t="shared" si="22"/>
        <v>21</v>
      </c>
      <c r="D88" s="185">
        <f t="shared" si="1"/>
        <v>21</v>
      </c>
      <c r="E88" s="186">
        <f t="shared" si="2"/>
        <v>1.4570809496699502</v>
      </c>
      <c r="F88" s="59">
        <f t="shared" ca="1" si="3"/>
        <v>375389577.07031769</v>
      </c>
      <c r="G88" s="1169"/>
      <c r="H88" s="1178">
        <f t="shared" si="24"/>
        <v>0</v>
      </c>
      <c r="I88" s="187">
        <f ca="1">IF(OR(C88&lt;0,C88=""),"",-E88*INDEX('Replacement Costs'!$A$16:$H$57,MATCH(C88,'Replacement Costs'!$C$16:$C$57,0),MATCH("Total Yearly Replacement Costs",'Replacement Costs'!$A$16:$H$16,0)))</f>
        <v>-2128410.4057135792</v>
      </c>
      <c r="J88" s="187">
        <f ca="1">IF(AND(C88&gt;=1,C88&lt;anal_period),WorkingCap*SUM(N88:R88)-WorkingCap*SUM(N87:R87),IF(C88&lt;0,0,IF(B88="","",-SUM(J$65:J87))))</f>
        <v>-1234681.7043027505</v>
      </c>
      <c r="K88" s="187" t="str">
        <f t="shared" si="4"/>
        <v/>
      </c>
      <c r="L88" s="187" t="str">
        <f t="shared" si="5"/>
        <v/>
      </c>
      <c r="M88" s="187" t="str">
        <f t="shared" si="6"/>
        <v/>
      </c>
      <c r="N88" s="187">
        <f t="shared" ca="1" si="7"/>
        <v>-16937868.423248336</v>
      </c>
      <c r="O88" s="187">
        <f t="shared" ca="1" si="8"/>
        <v>-309322240.24563277</v>
      </c>
      <c r="P88" s="187">
        <f t="shared" ca="1" si="9"/>
        <v>0</v>
      </c>
      <c r="Q88" s="187">
        <f t="shared" ca="1" si="10"/>
        <v>0</v>
      </c>
      <c r="R88" s="187">
        <f t="shared" ca="1" si="11"/>
        <v>-27555870.967069961</v>
      </c>
      <c r="S88" s="187">
        <f ca="1">IF(B88="","",IF($B$31=0,"",-'Debt Financing Calculations'!E37))</f>
        <v>-6129599.6730380133</v>
      </c>
      <c r="T88" s="187">
        <f t="shared" ca="1" si="12"/>
        <v>15443997.761328578</v>
      </c>
      <c r="U88" s="187">
        <f ca="1">IF(C88="","",IF(C88&lt;-1,0,IF(C88=anal_period,-LOOKUP(C88,depr_yr,depr_cost)-Depreciation!$C$141-Depreciation!$B$166,-LOOKUP(C88,depr_yr,depr_cost))))</f>
        <v>-8020760.8502352564</v>
      </c>
      <c r="V88" s="187">
        <f t="shared" ca="1" si="13"/>
        <v>7423236.9110933216</v>
      </c>
      <c r="W88" s="188">
        <f t="shared" si="14"/>
        <v>0.25739999999999996</v>
      </c>
      <c r="X88" s="187">
        <f t="shared" ca="1" si="15"/>
        <v>-1910741.1809154206</v>
      </c>
      <c r="Y88" s="187">
        <f t="shared" ca="1" si="16"/>
        <v>13533256.580413157</v>
      </c>
      <c r="Z88" s="187">
        <f>IF(C88="","",IF($B$31=0,"",-'Debt Financing Calculations'!F37))</f>
        <v>0</v>
      </c>
      <c r="AA88" s="187">
        <f t="shared" ca="1" si="17"/>
        <v>10170164.470396828</v>
      </c>
      <c r="AB88" s="187">
        <f t="shared" ca="1" si="23"/>
        <v>234524061.52827212</v>
      </c>
      <c r="AC88" s="1156">
        <f t="shared" ca="1" si="18"/>
        <v>12080905.651312249</v>
      </c>
      <c r="AD88" s="134"/>
      <c r="AE88" s="1160">
        <f t="shared" ca="1" si="19"/>
        <v>124628629.5</v>
      </c>
      <c r="AF88" s="1156">
        <f t="shared" si="20"/>
        <v>0</v>
      </c>
    </row>
    <row r="89" spans="1:32" x14ac:dyDescent="0.25">
      <c r="A89" s="58">
        <f t="shared" si="21"/>
        <v>2061</v>
      </c>
      <c r="B89" s="185">
        <f>IF(MAX($B$65:B88)&lt;(construct+anal_period),B88+1,"")</f>
        <v>25</v>
      </c>
      <c r="C89" s="185">
        <f t="shared" si="22"/>
        <v>22</v>
      </c>
      <c r="D89" s="185">
        <f t="shared" si="1"/>
        <v>22</v>
      </c>
      <c r="E89" s="186">
        <f t="shared" si="2"/>
        <v>1.4847654877136791</v>
      </c>
      <c r="F89" s="59">
        <f t="shared" ca="1" si="3"/>
        <v>382521979.03465366</v>
      </c>
      <c r="G89" s="1169"/>
      <c r="H89" s="1178">
        <f t="shared" si="24"/>
        <v>0</v>
      </c>
      <c r="I89" s="187">
        <f ca="1">IF(OR(C89&lt;0,C89=""),"",-E89*INDEX('Replacement Costs'!$A$16:$H$57,MATCH(C89,'Replacement Costs'!$C$16:$C$57,0),MATCH("Total Yearly Replacement Costs",'Replacement Costs'!$A$16:$H$16,0)))</f>
        <v>-2168850.2034221371</v>
      </c>
      <c r="J89" s="187">
        <f ca="1">IF(AND(C89&gt;=1,C89&lt;anal_period),WorkingCap*SUM(N89:R89)-WorkingCap*SUM(N88:R88),IF(C89&lt;0,0,IF(B89="","",-SUM(J$65:J88))))</f>
        <v>-1232365.2737222239</v>
      </c>
      <c r="K89" s="187" t="str">
        <f t="shared" si="4"/>
        <v/>
      </c>
      <c r="L89" s="187" t="str">
        <f t="shared" si="5"/>
        <v/>
      </c>
      <c r="M89" s="187" t="str">
        <f t="shared" si="6"/>
        <v/>
      </c>
      <c r="N89" s="187">
        <f t="shared" ca="1" si="7"/>
        <v>-17259687.923290052</v>
      </c>
      <c r="O89" s="187">
        <f t="shared" ca="1" si="8"/>
        <v>-316685898.99688846</v>
      </c>
      <c r="P89" s="187">
        <f t="shared" ca="1" si="9"/>
        <v>0</v>
      </c>
      <c r="Q89" s="187">
        <f t="shared" ca="1" si="10"/>
        <v>0</v>
      </c>
      <c r="R89" s="187">
        <f t="shared" ca="1" si="11"/>
        <v>-28086161.207254063</v>
      </c>
      <c r="S89" s="187">
        <f ca="1">IF(B89="","",IF($B$31=0,"",-'Debt Financing Calculations'!E38))</f>
        <v>-6129599.6730380133</v>
      </c>
      <c r="T89" s="187">
        <f t="shared" ca="1" si="12"/>
        <v>14360631.234183073</v>
      </c>
      <c r="U89" s="187">
        <f ca="1">IF(C89="","",IF(C89&lt;-1,0,IF(C89=anal_period,-LOOKUP(C89,depr_yr,depr_cost)-Depreciation!$C$141-Depreciation!$B$166,-LOOKUP(C89,depr_yr,depr_cost))))</f>
        <v>-1836699.6833707935</v>
      </c>
      <c r="V89" s="187">
        <f t="shared" ca="1" si="13"/>
        <v>12523931.55081228</v>
      </c>
      <c r="W89" s="188">
        <f t="shared" si="14"/>
        <v>0.25739999999999996</v>
      </c>
      <c r="X89" s="187">
        <f t="shared" ca="1" si="15"/>
        <v>-3223659.9811790804</v>
      </c>
      <c r="Y89" s="187">
        <f t="shared" ca="1" si="16"/>
        <v>11136971.253003992</v>
      </c>
      <c r="Z89" s="187">
        <f>IF(C89="","",IF($B$31=0,"",-'Debt Financing Calculations'!F38))</f>
        <v>0</v>
      </c>
      <c r="AA89" s="187">
        <f t="shared" ca="1" si="17"/>
        <v>7735755.7758596316</v>
      </c>
      <c r="AB89" s="187">
        <f t="shared" ca="1" si="23"/>
        <v>242259817.30413175</v>
      </c>
      <c r="AC89" s="1156">
        <f t="shared" ca="1" si="18"/>
        <v>10959415.757038713</v>
      </c>
      <c r="AD89" s="134"/>
      <c r="AE89" s="1160">
        <f t="shared" ca="1" si="19"/>
        <v>124628629.5</v>
      </c>
      <c r="AF89" s="1156">
        <f t="shared" si="20"/>
        <v>0</v>
      </c>
    </row>
    <row r="90" spans="1:32" x14ac:dyDescent="0.25">
      <c r="A90" s="58">
        <f t="shared" si="21"/>
        <v>2062</v>
      </c>
      <c r="B90" s="185">
        <f>IF(MAX($B$65:B89)&lt;(construct+anal_period),B89+1,"")</f>
        <v>26</v>
      </c>
      <c r="C90" s="185">
        <f t="shared" si="22"/>
        <v>23</v>
      </c>
      <c r="D90" s="185">
        <f t="shared" si="1"/>
        <v>23</v>
      </c>
      <c r="E90" s="186">
        <f t="shared" si="2"/>
        <v>1.5129760319802392</v>
      </c>
      <c r="F90" s="59">
        <f t="shared" ca="1" si="3"/>
        <v>389789896.63631219</v>
      </c>
      <c r="G90" s="1169"/>
      <c r="H90" s="1178">
        <f t="shared" si="24"/>
        <v>0</v>
      </c>
      <c r="I90" s="187">
        <f ca="1">IF(OR(C90&lt;0,C90=""),"",-E90*INDEX('Replacement Costs'!$A$16:$H$57,MATCH(C90,'Replacement Costs'!$C$16:$C$57,0),MATCH("Total Yearly Replacement Costs",'Replacement Costs'!$A$16:$H$16,0)))</f>
        <v>-2210058.3572871578</v>
      </c>
      <c r="J90" s="187">
        <f ca="1">IF(AND(C90&gt;=1,C90&lt;anal_period),WorkingCap*SUM(N90:R90)-WorkingCap*SUM(N89:R89),IF(C90&lt;0,0,IF(B90="","",-SUM(J$65:J89))))</f>
        <v>-1261108.1084582135</v>
      </c>
      <c r="K90" s="187" t="str">
        <f t="shared" si="4"/>
        <v/>
      </c>
      <c r="L90" s="187" t="str">
        <f t="shared" si="5"/>
        <v/>
      </c>
      <c r="M90" s="187" t="str">
        <f t="shared" si="6"/>
        <v/>
      </c>
      <c r="N90" s="187">
        <f t="shared" ca="1" si="7"/>
        <v>-17587621.993832566</v>
      </c>
      <c r="O90" s="187">
        <f t="shared" ca="1" si="8"/>
        <v>-324224855.42529118</v>
      </c>
      <c r="P90" s="187">
        <f t="shared" ca="1" si="9"/>
        <v>0</v>
      </c>
      <c r="Q90" s="187">
        <f t="shared" ca="1" si="10"/>
        <v>0</v>
      </c>
      <c r="R90" s="187">
        <f t="shared" ca="1" si="11"/>
        <v>-28626658.098030224</v>
      </c>
      <c r="S90" s="187">
        <f ca="1">IF(B90="","",IF($B$31=0,"",-'Debt Financing Calculations'!E39))</f>
        <v>-6129599.6730380133</v>
      </c>
      <c r="T90" s="187">
        <f t="shared" ca="1" si="12"/>
        <v>13221161.446120203</v>
      </c>
      <c r="U90" s="187">
        <f ca="1">IF(C90="","",IF(C90&lt;-1,0,IF(C90=anal_period,-LOOKUP(C90,depr_yr,depr_cost)-Depreciation!$C$141-Depreciation!$B$166,-LOOKUP(C90,depr_yr,depr_cost))))</f>
        <v>-1871596.9773548387</v>
      </c>
      <c r="V90" s="187">
        <f t="shared" ca="1" si="13"/>
        <v>11349564.468765363</v>
      </c>
      <c r="W90" s="188">
        <f t="shared" si="14"/>
        <v>0.25739999999999996</v>
      </c>
      <c r="X90" s="187">
        <f t="shared" ca="1" si="15"/>
        <v>-2921377.8942602039</v>
      </c>
      <c r="Y90" s="187">
        <f t="shared" ca="1" si="16"/>
        <v>10299783.551859999</v>
      </c>
      <c r="Z90" s="187">
        <f>IF(C90="","",IF($B$31=0,"",-'Debt Financing Calculations'!F39))</f>
        <v>0</v>
      </c>
      <c r="AA90" s="187">
        <f t="shared" ca="1" si="17"/>
        <v>6828617.0861146282</v>
      </c>
      <c r="AB90" s="187">
        <f t="shared" ca="1" si="23"/>
        <v>249088434.39024636</v>
      </c>
      <c r="AC90" s="1156">
        <f t="shared" ca="1" si="18"/>
        <v>9749994.9803748317</v>
      </c>
      <c r="AD90" s="134"/>
      <c r="AE90" s="1160">
        <f t="shared" ca="1" si="19"/>
        <v>124628629.5</v>
      </c>
      <c r="AF90" s="1156">
        <f t="shared" si="20"/>
        <v>0</v>
      </c>
    </row>
    <row r="91" spans="1:32" x14ac:dyDescent="0.25">
      <c r="A91" s="58">
        <f t="shared" si="21"/>
        <v>2063</v>
      </c>
      <c r="B91" s="185">
        <f>IF(MAX($B$65:B90)&lt;(construct+anal_period),B90+1,"")</f>
        <v>27</v>
      </c>
      <c r="C91" s="185">
        <f t="shared" si="22"/>
        <v>24</v>
      </c>
      <c r="D91" s="185">
        <f t="shared" si="1"/>
        <v>24</v>
      </c>
      <c r="E91" s="186">
        <f t="shared" si="2"/>
        <v>1.5417225765878635</v>
      </c>
      <c r="F91" s="59">
        <f t="shared" ca="1" si="3"/>
        <v>397195904.67240202</v>
      </c>
      <c r="G91" s="1169"/>
      <c r="H91" s="1178">
        <f t="shared" si="24"/>
        <v>0</v>
      </c>
      <c r="I91" s="187">
        <f ca="1">IF(OR(C91&lt;0,C91=""),"",-E91*INDEX('Replacement Costs'!$A$16:$H$57,MATCH(C91,'Replacement Costs'!$C$16:$C$57,0),MATCH("Total Yearly Replacement Costs",'Replacement Costs'!$A$16:$H$16,0)))</f>
        <v>-2252049.4660756136</v>
      </c>
      <c r="J91" s="187">
        <f ca="1">IF(AND(C91&gt;=1,C91&lt;anal_period),WorkingCap*SUM(N91:R91)-WorkingCap*SUM(N90:R90),IF(C91&lt;0,0,IF(B91="","",-SUM(J$65:J90))))</f>
        <v>-1290523.8068547323</v>
      </c>
      <c r="K91" s="187" t="str">
        <f t="shared" si="4"/>
        <v/>
      </c>
      <c r="L91" s="187" t="str">
        <f t="shared" si="5"/>
        <v/>
      </c>
      <c r="M91" s="187" t="str">
        <f t="shared" si="6"/>
        <v/>
      </c>
      <c r="N91" s="187">
        <f t="shared" ca="1" si="7"/>
        <v>-17921786.811715383</v>
      </c>
      <c r="O91" s="187">
        <f t="shared" ca="1" si="8"/>
        <v>-331943282.62965631</v>
      </c>
      <c r="P91" s="187">
        <f t="shared" ca="1" si="9"/>
        <v>0</v>
      </c>
      <c r="Q91" s="187">
        <f t="shared" ca="1" si="10"/>
        <v>0</v>
      </c>
      <c r="R91" s="187">
        <f t="shared" ca="1" si="11"/>
        <v>-29177558.121480532</v>
      </c>
      <c r="S91" s="187">
        <f ca="1">IF(B91="","",IF($B$31=0,"",-'Debt Financing Calculations'!E40))</f>
        <v>-6129599.6730380133</v>
      </c>
      <c r="T91" s="187">
        <f t="shared" ca="1" si="12"/>
        <v>12023677.436511815</v>
      </c>
      <c r="U91" s="187">
        <f ca="1">IF(C91="","",IF(C91&lt;-1,0,IF(C91=anal_period,-LOOKUP(C91,depr_yr,depr_cost)-Depreciation!$C$141-Depreciation!$B$166,-LOOKUP(C91,depr_yr,depr_cost))))</f>
        <v>-1907157.3199245809</v>
      </c>
      <c r="V91" s="187">
        <f t="shared" ca="1" si="13"/>
        <v>10116520.116587233</v>
      </c>
      <c r="W91" s="188">
        <f t="shared" si="14"/>
        <v>0.25739999999999996</v>
      </c>
      <c r="X91" s="187">
        <f t="shared" ca="1" si="15"/>
        <v>-2603992.2780095534</v>
      </c>
      <c r="Y91" s="187">
        <f t="shared" ca="1" si="16"/>
        <v>9419685.1585022621</v>
      </c>
      <c r="Z91" s="187">
        <f>IF(C91="","",IF($B$31=0,"",-'Debt Financing Calculations'!F40))</f>
        <v>0</v>
      </c>
      <c r="AA91" s="187">
        <f t="shared" ca="1" si="17"/>
        <v>5877111.8855719147</v>
      </c>
      <c r="AB91" s="187">
        <f t="shared" ca="1" si="23"/>
        <v>254965546.27581829</v>
      </c>
      <c r="AC91" s="1156">
        <f t="shared" ca="1" si="18"/>
        <v>8481104.1635814682</v>
      </c>
      <c r="AD91" s="134"/>
      <c r="AE91" s="1160">
        <f t="shared" ca="1" si="19"/>
        <v>124628629.5</v>
      </c>
      <c r="AF91" s="1156">
        <f t="shared" si="20"/>
        <v>0</v>
      </c>
    </row>
    <row r="92" spans="1:32" x14ac:dyDescent="0.25">
      <c r="A92" s="58">
        <f t="shared" si="21"/>
        <v>2064</v>
      </c>
      <c r="B92" s="185">
        <f>IF(MAX($B$65:B91)&lt;(construct+anal_period),B91+1,"")</f>
        <v>28</v>
      </c>
      <c r="C92" s="185">
        <f t="shared" si="22"/>
        <v>25</v>
      </c>
      <c r="D92" s="185">
        <f t="shared" si="1"/>
        <v>25</v>
      </c>
      <c r="E92" s="186">
        <f t="shared" si="2"/>
        <v>1.5710153055430329</v>
      </c>
      <c r="F92" s="59">
        <f t="shared" ca="1" si="3"/>
        <v>404742626.86117768</v>
      </c>
      <c r="G92" s="1169"/>
      <c r="H92" s="1178">
        <f t="shared" si="24"/>
        <v>0</v>
      </c>
      <c r="I92" s="187">
        <f ca="1">IF(OR(C92&lt;0,C92=""),"",-E92*INDEX('Replacement Costs'!$A$16:$H$57,MATCH(C92,'Replacement Costs'!$C$16:$C$57,0),MATCH("Total Yearly Replacement Costs",'Replacement Costs'!$A$16:$H$16,0)))</f>
        <v>-2294838.40593105</v>
      </c>
      <c r="J92" s="187">
        <f ca="1">IF(AND(C92&gt;=1,C92&lt;anal_period),WorkingCap*SUM(N92:R92)-WorkingCap*SUM(N91:R91),IF(C92&lt;0,0,IF(B92="","",-SUM(J$65:J91))))</f>
        <v>-1320628.1690450832</v>
      </c>
      <c r="K92" s="187" t="str">
        <f t="shared" si="4"/>
        <v/>
      </c>
      <c r="L92" s="187" t="str">
        <f t="shared" si="5"/>
        <v/>
      </c>
      <c r="M92" s="187" t="str">
        <f t="shared" si="6"/>
        <v/>
      </c>
      <c r="N92" s="187">
        <f t="shared" ca="1" si="7"/>
        <v>-18262300.761137974</v>
      </c>
      <c r="O92" s="187">
        <f t="shared" ca="1" si="8"/>
        <v>-339845453.05269283</v>
      </c>
      <c r="P92" s="187">
        <f t="shared" ca="1" si="9"/>
        <v>0</v>
      </c>
      <c r="Q92" s="187">
        <f t="shared" ca="1" si="10"/>
        <v>0</v>
      </c>
      <c r="R92" s="187">
        <f t="shared" ca="1" si="11"/>
        <v>-29739061.542655308</v>
      </c>
      <c r="S92" s="187">
        <f ca="1">IF(B92="","",IF($B$31=0,"",-'Debt Financing Calculations'!E41))</f>
        <v>-6129599.6730380133</v>
      </c>
      <c r="T92" s="187">
        <f t="shared" ca="1" si="12"/>
        <v>10766211.831653595</v>
      </c>
      <c r="U92" s="187">
        <f ca="1">IF(C92="","",IF(C92&lt;-1,0,IF(C92=anal_period,-LOOKUP(C92,depr_yr,depr_cost)-Depreciation!$C$141-Depreciation!$B$166,-LOOKUP(C92,depr_yr,depr_cost))))</f>
        <v>-1943393.3090031478</v>
      </c>
      <c r="V92" s="187">
        <f t="shared" ca="1" si="13"/>
        <v>8822818.5226504467</v>
      </c>
      <c r="W92" s="188">
        <f t="shared" si="14"/>
        <v>0.25739999999999996</v>
      </c>
      <c r="X92" s="187">
        <f t="shared" ca="1" si="15"/>
        <v>-2270993.4877302246</v>
      </c>
      <c r="Y92" s="187">
        <f t="shared" ca="1" si="16"/>
        <v>8495218.3439233713</v>
      </c>
      <c r="Z92" s="187">
        <f>IF(C92="","",IF($B$31=0,"",-'Debt Financing Calculations'!F41))</f>
        <v>0</v>
      </c>
      <c r="AA92" s="187">
        <f t="shared" ca="1" si="17"/>
        <v>4879751.7689472372</v>
      </c>
      <c r="AB92" s="187">
        <f t="shared" ca="1" si="23"/>
        <v>259845298.04476553</v>
      </c>
      <c r="AC92" s="1156">
        <f t="shared" ca="1" si="18"/>
        <v>7150745.2566774618</v>
      </c>
      <c r="AD92" s="134"/>
      <c r="AE92" s="1160">
        <f t="shared" ca="1" si="19"/>
        <v>124628629.5</v>
      </c>
      <c r="AF92" s="1156">
        <f t="shared" si="20"/>
        <v>0</v>
      </c>
    </row>
    <row r="93" spans="1:32" x14ac:dyDescent="0.25">
      <c r="A93" s="58">
        <f t="shared" si="21"/>
        <v>2065</v>
      </c>
      <c r="B93" s="185">
        <f>IF(MAX($B$65:B92)&lt;(construct+anal_period),B92+1,"")</f>
        <v>29</v>
      </c>
      <c r="C93" s="185">
        <f t="shared" si="22"/>
        <v>26</v>
      </c>
      <c r="D93" s="185">
        <f t="shared" si="1"/>
        <v>26</v>
      </c>
      <c r="E93" s="186">
        <f t="shared" si="2"/>
        <v>1.6008645963483503</v>
      </c>
      <c r="F93" s="59">
        <f t="shared" ca="1" si="3"/>
        <v>412432736.77153999</v>
      </c>
      <c r="G93" s="1169"/>
      <c r="H93" s="1178">
        <f t="shared" si="24"/>
        <v>0</v>
      </c>
      <c r="I93" s="187">
        <f ca="1">IF(OR(C93&lt;0,C93=""),"",-E93*INDEX('Replacement Costs'!$A$16:$H$57,MATCH(C93,'Replacement Costs'!$C$16:$C$57,0),MATCH("Total Yearly Replacement Costs",'Replacement Costs'!$A$16:$H$16,0)))</f>
        <v>-2338440.3356437399</v>
      </c>
      <c r="J93" s="187">
        <f ca="1">IF(AND(C93&gt;=1,C93&lt;anal_period),WorkingCap*SUM(N93:R93)-WorkingCap*SUM(N92:R92),IF(C93&lt;0,0,IF(B93="","",-SUM(J$65:J92))))</f>
        <v>-1351437.3671243489</v>
      </c>
      <c r="K93" s="187" t="str">
        <f t="shared" si="4"/>
        <v/>
      </c>
      <c r="L93" s="187" t="str">
        <f t="shared" si="5"/>
        <v/>
      </c>
      <c r="M93" s="187" t="str">
        <f t="shared" si="6"/>
        <v/>
      </c>
      <c r="N93" s="187">
        <f t="shared" ca="1" si="7"/>
        <v>-18609284.475599594</v>
      </c>
      <c r="O93" s="187">
        <f t="shared" ca="1" si="8"/>
        <v>-347935740.84596199</v>
      </c>
      <c r="P93" s="187">
        <f t="shared" ca="1" si="9"/>
        <v>0</v>
      </c>
      <c r="Q93" s="187">
        <f t="shared" ca="1" si="10"/>
        <v>0</v>
      </c>
      <c r="R93" s="187">
        <f t="shared" ca="1" si="11"/>
        <v>-30311372.482420206</v>
      </c>
      <c r="S93" s="187">
        <f ca="1">IF(B93="","",IF($B$31=0,"",-'Debt Financing Calculations'!E42))</f>
        <v>-6129599.6730380133</v>
      </c>
      <c r="T93" s="187">
        <f t="shared" ca="1" si="12"/>
        <v>9446739.2945201993</v>
      </c>
      <c r="U93" s="187">
        <f ca="1">IF(C93="","",IF(C93&lt;-1,0,IF(C93=anal_period,-LOOKUP(C93,depr_yr,depr_cost)-Depreciation!$C$141-Depreciation!$B$166,-LOOKUP(C93,depr_yr,depr_cost))))</f>
        <v>-1980317.7818742073</v>
      </c>
      <c r="V93" s="187">
        <f t="shared" ca="1" si="13"/>
        <v>7466421.5126459915</v>
      </c>
      <c r="W93" s="188">
        <f t="shared" si="14"/>
        <v>0.25739999999999996</v>
      </c>
      <c r="X93" s="187">
        <f t="shared" ca="1" si="15"/>
        <v>-1921856.897355078</v>
      </c>
      <c r="Y93" s="187">
        <f t="shared" ca="1" si="16"/>
        <v>7524882.3971651215</v>
      </c>
      <c r="Z93" s="187">
        <f>IF(C93="","",IF($B$31=0,"",-'Debt Financing Calculations'!F42))</f>
        <v>0</v>
      </c>
      <c r="AA93" s="187">
        <f t="shared" ca="1" si="17"/>
        <v>3835004.6943970323</v>
      </c>
      <c r="AB93" s="187">
        <f t="shared" ca="1" si="23"/>
        <v>263680302.73916256</v>
      </c>
      <c r="AC93" s="1156">
        <f t="shared" ca="1" si="18"/>
        <v>5756861.59175211</v>
      </c>
      <c r="AD93" s="134"/>
      <c r="AE93" s="1160">
        <f t="shared" ca="1" si="19"/>
        <v>124628629.5</v>
      </c>
      <c r="AF93" s="1156">
        <f t="shared" si="20"/>
        <v>0</v>
      </c>
    </row>
    <row r="94" spans="1:32" x14ac:dyDescent="0.25">
      <c r="A94" s="58">
        <f t="shared" si="21"/>
        <v>2066</v>
      </c>
      <c r="B94" s="185">
        <f>IF(MAX($B$65:B93)&lt;(construct+anal_period),B93+1,"")</f>
        <v>30</v>
      </c>
      <c r="C94" s="185">
        <f t="shared" si="22"/>
        <v>27</v>
      </c>
      <c r="D94" s="185">
        <f t="shared" si="1"/>
        <v>27</v>
      </c>
      <c r="E94" s="186">
        <f t="shared" si="2"/>
        <v>1.631281023678969</v>
      </c>
      <c r="F94" s="59">
        <f t="shared" ca="1" si="3"/>
        <v>420268958.77019924</v>
      </c>
      <c r="G94" s="1169"/>
      <c r="H94" s="1178">
        <f t="shared" si="24"/>
        <v>0</v>
      </c>
      <c r="I94" s="187">
        <f ca="1">IF(OR(C94&lt;0,C94=""),"",-E94*INDEX('Replacement Costs'!$A$16:$H$57,MATCH(C94,'Replacement Costs'!$C$16:$C$57,0),MATCH("Total Yearly Replacement Costs",'Replacement Costs'!$A$16:$H$16,0)))</f>
        <v>-2382870.7020209706</v>
      </c>
      <c r="J94" s="187">
        <f ca="1">IF(AND(C94&gt;=1,C94&lt;anal_period),WorkingCap*SUM(N94:R94)-WorkingCap*SUM(N93:R93),IF(C94&lt;0,0,IF(B94="","",-SUM(J$65:J93))))</f>
        <v>-1345872.1746169105</v>
      </c>
      <c r="K94" s="187" t="str">
        <f t="shared" si="4"/>
        <v/>
      </c>
      <c r="L94" s="187" t="str">
        <f t="shared" si="5"/>
        <v/>
      </c>
      <c r="M94" s="187" t="str">
        <f t="shared" si="6"/>
        <v/>
      </c>
      <c r="N94" s="187">
        <f t="shared" ca="1" si="7"/>
        <v>-18962860.880635984</v>
      </c>
      <c r="O94" s="187">
        <f t="shared" ca="1" si="8"/>
        <v>-355971580.25002414</v>
      </c>
      <c r="P94" s="187">
        <f t="shared" ca="1" si="9"/>
        <v>0</v>
      </c>
      <c r="Q94" s="187">
        <f t="shared" ca="1" si="10"/>
        <v>0</v>
      </c>
      <c r="R94" s="187">
        <f t="shared" ca="1" si="11"/>
        <v>-30894437.837434404</v>
      </c>
      <c r="S94" s="187">
        <f ca="1">IF(B94="","",IF($B$31=0,"",-'Debt Financing Calculations'!E43))</f>
        <v>-6129599.6730380133</v>
      </c>
      <c r="T94" s="187">
        <f t="shared" ca="1" si="12"/>
        <v>8310480.1290667057</v>
      </c>
      <c r="U94" s="187">
        <f ca="1">IF(C94="","",IF(C94&lt;-1,0,IF(C94=anal_period,-LOOKUP(C94,depr_yr,depr_cost)-Depreciation!$C$141-Depreciation!$B$166,-LOOKUP(C94,depr_yr,depr_cost))))</f>
        <v>-2017943.8197298171</v>
      </c>
      <c r="V94" s="187">
        <f t="shared" ca="1" si="13"/>
        <v>6292536.3093368886</v>
      </c>
      <c r="W94" s="188">
        <f t="shared" si="14"/>
        <v>0.25739999999999996</v>
      </c>
      <c r="X94" s="187">
        <f t="shared" ca="1" si="15"/>
        <v>-1619698.8460233149</v>
      </c>
      <c r="Y94" s="187">
        <f t="shared" ca="1" si="16"/>
        <v>6690781.2830433911</v>
      </c>
      <c r="Z94" s="187">
        <f>IF(C94="","",IF($B$31=0,"",-'Debt Financing Calculations'!F43))</f>
        <v>0</v>
      </c>
      <c r="AA94" s="187">
        <f t="shared" ca="1" si="17"/>
        <v>2962038.4064055094</v>
      </c>
      <c r="AB94" s="187">
        <f t="shared" ca="1" si="23"/>
        <v>266642341.14556807</v>
      </c>
      <c r="AC94" s="1156">
        <f t="shared" ca="1" si="18"/>
        <v>4581737.2524288241</v>
      </c>
      <c r="AD94" s="134"/>
      <c r="AE94" s="1160">
        <f t="shared" ca="1" si="19"/>
        <v>124628629.5</v>
      </c>
      <c r="AF94" s="1156">
        <f t="shared" si="20"/>
        <v>0</v>
      </c>
    </row>
    <row r="95" spans="1:32" x14ac:dyDescent="0.25">
      <c r="A95" s="58">
        <f t="shared" si="21"/>
        <v>2067</v>
      </c>
      <c r="B95" s="185">
        <f>IF(MAX($B$65:B94)&lt;(construct+anal_period),B94+1,"")</f>
        <v>31</v>
      </c>
      <c r="C95" s="185">
        <f t="shared" si="22"/>
        <v>28</v>
      </c>
      <c r="D95" s="185">
        <f t="shared" si="1"/>
        <v>28</v>
      </c>
      <c r="E95" s="186">
        <f t="shared" si="2"/>
        <v>1.6622753631288694</v>
      </c>
      <c r="F95" s="59">
        <f t="shared" ca="1" si="3"/>
        <v>428254068.98683304</v>
      </c>
      <c r="G95" s="1169"/>
      <c r="H95" s="1178">
        <f t="shared" si="24"/>
        <v>0</v>
      </c>
      <c r="I95" s="187">
        <f ca="1">IF(OR(C95&lt;0,C95=""),"",-E95*INDEX('Replacement Costs'!$A$16:$H$57,MATCH(C95,'Replacement Costs'!$C$16:$C$57,0),MATCH("Total Yearly Replacement Costs",'Replacement Costs'!$A$16:$H$16,0)))</f>
        <v>-2428145.2453593691</v>
      </c>
      <c r="J95" s="187">
        <f ca="1">IF(AND(C95&gt;=1,C95&lt;anal_period),WorkingCap*SUM(N95:R95)-WorkingCap*SUM(N94:R94),IF(C95&lt;0,0,IF(B95="","",-SUM(J$65:J94))))</f>
        <v>-1376401.5544877276</v>
      </c>
      <c r="K95" s="187" t="str">
        <f t="shared" si="4"/>
        <v/>
      </c>
      <c r="L95" s="187" t="str">
        <f t="shared" si="5"/>
        <v/>
      </c>
      <c r="M95" s="187" t="str">
        <f t="shared" si="6"/>
        <v/>
      </c>
      <c r="N95" s="187">
        <f t="shared" ca="1" si="7"/>
        <v>-19323155.23736807</v>
      </c>
      <c r="O95" s="187">
        <f t="shared" ca="1" si="8"/>
        <v>-364193013.45014435</v>
      </c>
      <c r="P95" s="187">
        <f t="shared" ca="1" si="9"/>
        <v>0</v>
      </c>
      <c r="Q95" s="187">
        <f t="shared" ca="1" si="10"/>
        <v>0</v>
      </c>
      <c r="R95" s="187">
        <f t="shared" ca="1" si="11"/>
        <v>-31488720.643833648</v>
      </c>
      <c r="S95" s="187">
        <f ca="1">IF(B95="","",IF($B$31=0,"",-'Debt Financing Calculations'!E44))</f>
        <v>-6129599.6730380133</v>
      </c>
      <c r="T95" s="187">
        <f t="shared" ca="1" si="12"/>
        <v>7119579.9824489951</v>
      </c>
      <c r="U95" s="187">
        <f ca="1">IF(C95="","",IF(C95&lt;-1,0,IF(C95=anal_period,-LOOKUP(C95,depr_yr,depr_cost)-Depreciation!$C$141-Depreciation!$B$166,-LOOKUP(C95,depr_yr,depr_cost))))</f>
        <v>-2056284.7523046834</v>
      </c>
      <c r="V95" s="187">
        <f t="shared" ca="1" si="13"/>
        <v>5063295.2301443117</v>
      </c>
      <c r="W95" s="188">
        <f t="shared" si="14"/>
        <v>0.25739999999999996</v>
      </c>
      <c r="X95" s="187">
        <f t="shared" ca="1" si="15"/>
        <v>-1303292.1922391457</v>
      </c>
      <c r="Y95" s="187">
        <f t="shared" ca="1" si="16"/>
        <v>5816287.7902098494</v>
      </c>
      <c r="Z95" s="187">
        <f>IF(C95="","",IF($B$31=0,"",-'Debt Financing Calculations'!F44))</f>
        <v>0</v>
      </c>
      <c r="AA95" s="187">
        <f t="shared" ca="1" si="17"/>
        <v>2011740.9903627527</v>
      </c>
      <c r="AB95" s="187">
        <f t="shared" ca="1" si="23"/>
        <v>268654082.13593084</v>
      </c>
      <c r="AC95" s="1156">
        <f t="shared" ca="1" si="18"/>
        <v>3315033.1826018984</v>
      </c>
      <c r="AD95" s="134"/>
      <c r="AE95" s="1160">
        <f t="shared" ca="1" si="19"/>
        <v>124628629.5</v>
      </c>
      <c r="AF95" s="1156">
        <f t="shared" si="20"/>
        <v>0</v>
      </c>
    </row>
    <row r="96" spans="1:32" x14ac:dyDescent="0.25">
      <c r="A96" s="58">
        <f t="shared" si="21"/>
        <v>2068</v>
      </c>
      <c r="B96" s="185">
        <f>IF(MAX($B$65:B95)&lt;(construct+anal_period),B95+1,"")</f>
        <v>32</v>
      </c>
      <c r="C96" s="185">
        <f t="shared" si="22"/>
        <v>29</v>
      </c>
      <c r="D96" s="185">
        <f t="shared" si="1"/>
        <v>29</v>
      </c>
      <c r="E96" s="186">
        <f t="shared" si="2"/>
        <v>1.6938585950283176</v>
      </c>
      <c r="F96" s="59">
        <f t="shared" ca="1" si="3"/>
        <v>436390896.29758281</v>
      </c>
      <c r="G96" s="1169"/>
      <c r="H96" s="1178">
        <f t="shared" si="24"/>
        <v>0</v>
      </c>
      <c r="I96" s="187">
        <f ca="1">IF(OR(C96&lt;0,C96=""),"",-E96*INDEX('Replacement Costs'!$A$16:$H$57,MATCH(C96,'Replacement Costs'!$C$16:$C$57,0),MATCH("Total Yearly Replacement Costs",'Replacement Costs'!$A$16:$H$16,0)))</f>
        <v>-2474280.0050211968</v>
      </c>
      <c r="J96" s="187">
        <f ca="1">IF(AND(C96&gt;=1,C96&lt;anal_period),WorkingCap*SUM(N96:R96)-WorkingCap*SUM(N95:R95),IF(C96&lt;0,0,IF(B96="","",-SUM(J$65:J95))))</f>
        <v>-1407625.4212463498</v>
      </c>
      <c r="K96" s="187" t="str">
        <f t="shared" si="4"/>
        <v/>
      </c>
      <c r="L96" s="187" t="str">
        <f t="shared" si="5"/>
        <v/>
      </c>
      <c r="M96" s="187" t="str">
        <f t="shared" si="6"/>
        <v/>
      </c>
      <c r="N96" s="187">
        <f t="shared" ca="1" si="7"/>
        <v>-19690295.186878059</v>
      </c>
      <c r="O96" s="187">
        <f t="shared" ca="1" si="8"/>
        <v>-372604326.87558061</v>
      </c>
      <c r="P96" s="187">
        <f t="shared" ca="1" si="9"/>
        <v>0</v>
      </c>
      <c r="Q96" s="187">
        <f t="shared" ca="1" si="10"/>
        <v>0</v>
      </c>
      <c r="R96" s="187">
        <f t="shared" ca="1" si="11"/>
        <v>-32094436.743862983</v>
      </c>
      <c r="S96" s="187">
        <f ca="1">IF(B96="","",IF($B$31=0,"",-'Debt Financing Calculations'!E45))</f>
        <v>-6129599.6730380133</v>
      </c>
      <c r="T96" s="187">
        <f t="shared" ca="1" si="12"/>
        <v>5872237.8182231188</v>
      </c>
      <c r="U96" s="187">
        <f ca="1">IF(C96="","",IF(C96&lt;-1,0,IF(C96=anal_period,-LOOKUP(C96,depr_yr,depr_cost)-Depreciation!$C$141-Depreciation!$B$166,-LOOKUP(C96,depr_yr,depr_cost))))</f>
        <v>-2095354.1625984726</v>
      </c>
      <c r="V96" s="187">
        <f t="shared" ca="1" si="13"/>
        <v>3776883.6556246462</v>
      </c>
      <c r="W96" s="188">
        <f t="shared" si="14"/>
        <v>0.25739999999999996</v>
      </c>
      <c r="X96" s="187">
        <f t="shared" ca="1" si="15"/>
        <v>-972169.85295778385</v>
      </c>
      <c r="Y96" s="187">
        <f t="shared" ca="1" si="16"/>
        <v>4900067.9652653346</v>
      </c>
      <c r="Z96" s="187">
        <f>IF(C96="","",IF($B$31=0,"",-'Debt Financing Calculations'!F45))</f>
        <v>0</v>
      </c>
      <c r="AA96" s="187">
        <f t="shared" ca="1" si="17"/>
        <v>1018162.5389977883</v>
      </c>
      <c r="AB96" s="187">
        <f t="shared" ca="1" si="23"/>
        <v>269672244.67492861</v>
      </c>
      <c r="AC96" s="1156">
        <f t="shared" ca="1" si="18"/>
        <v>1990332.3919555722</v>
      </c>
      <c r="AD96" s="134"/>
      <c r="AE96" s="1160">
        <f t="shared" ca="1" si="19"/>
        <v>124628629.5</v>
      </c>
      <c r="AF96" s="1156">
        <f t="shared" si="20"/>
        <v>0</v>
      </c>
    </row>
    <row r="97" spans="1:32" x14ac:dyDescent="0.25">
      <c r="A97" s="58">
        <f t="shared" si="21"/>
        <v>2069</v>
      </c>
      <c r="B97" s="185">
        <f>IF(MAX($B$65:B96)&lt;(construct+anal_period),B96+1,"")</f>
        <v>33</v>
      </c>
      <c r="C97" s="185">
        <f t="shared" si="22"/>
        <v>30</v>
      </c>
      <c r="D97" s="185">
        <f t="shared" ref="D97:D113" si="25">IF(C97="","",IF(C97&lt;=plant_life,C97,IF(D96=plant_life,1,D96+1)))</f>
        <v>30</v>
      </c>
      <c r="E97" s="186">
        <f t="shared" ref="E97:E113" si="26">IF(C97="","",(1+inflation_rate)^(A97-$B$25))</f>
        <v>1.7260419083338554</v>
      </c>
      <c r="F97" s="59">
        <f t="shared" ref="F97:F113" ca="1" si="27">IF(C97="","",IF(C97&lt;0,0,IF(AND(C97=1,start_time&lt;1),E97*(H2_price_nominal*output_kgyear*start_time*percnt_revs+H2_price_nominal*output_kgyear*(1-start_time)),IF(C97&lt;=start_time,H2_price_nominal*E97*output_kgyear*percnt_revs,H2_price_nominal*output_kgyear*E97))))</f>
        <v>444682323.32723677</v>
      </c>
      <c r="G97" s="1169"/>
      <c r="H97" s="1178">
        <f t="shared" si="24"/>
        <v>0</v>
      </c>
      <c r="I97" s="187">
        <f ca="1">IF(OR(C97&lt;0,C97=""),"",-E97*INDEX('Replacement Costs'!$A$16:$H$57,MATCH(C97,'Replacement Costs'!$C$16:$C$57,0),MATCH("Total Yearly Replacement Costs",'Replacement Costs'!$A$16:$H$16,0)))</f>
        <v>-2521291.3251165994</v>
      </c>
      <c r="J97" s="187">
        <f ca="1">IF(AND(C97&gt;=1,C97&lt;anal_period),WorkingCap*SUM(N97:R97)-WorkingCap*SUM(N96:R96),IF(C97&lt;0,0,IF(B97="","",-SUM(J$65:J96))))</f>
        <v>-1439559.6114869639</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-20064410.795428738</v>
      </c>
      <c r="O97" s="187">
        <f t="shared" ref="O97:O109" ca="1" si="32">IF(C97="","",IF(C97&lt;0,0,IF(AND(C97=1,start_time&lt;1),-(SUM(B171:E171)*output_kgyear*E97*percnt_var*start_time+SUM(B171:E171)*output_kgyear*E97*(1-start_time)),IF(C97&lt;=start_time,-SUM(B171:E171)*output_kgyear*E97*percnt_var,-SUM(B171:E171)*output_kgyear*E97))))</f>
        <v>-381209905.95392084</v>
      </c>
      <c r="P97" s="187">
        <f t="shared" ref="P97:P113" ca="1" si="33">IF(C97="","",IF(C97&lt;0,0,IF(AND(C97=1,start_time&lt;1),-(inflated_otherraw*E97*percnt_var*start_time+inflated_otherraw*E97*(1-start_time)),IF(C97&lt;=start_time,-inflated_otherraw*E97*percnt_var,-(inflated_otherraw*E97)))))</f>
        <v>0</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-32711806.133551806</v>
      </c>
      <c r="S97" s="187">
        <f ca="1">IF(B97="","",IF($B$31=0,"",-'Debt Financing Calculations'!E46))</f>
        <v>-6129599.6730380133</v>
      </c>
      <c r="T97" s="187">
        <f t="shared" ref="T97:T113" ca="1" si="35">IF(C97="","",F97+SUM(L97:S97))</f>
        <v>4566600.7712973356</v>
      </c>
      <c r="U97" s="187">
        <f ca="1">IF(C97="","",IF(C97&lt;-1,0,IF(C97=anal_period,-LOOKUP(C97,depr_yr,depr_cost)-Depreciation!$C$141-Depreciation!$B$166,-LOOKUP(C97,depr_yr,depr_cost))))</f>
        <v>-2135165.8916878435</v>
      </c>
      <c r="V97" s="187">
        <f t="shared" ref="V97:V113" ca="1" si="36">IF(C97="","",SUM(T97:U97))</f>
        <v>2431434.8796094921</v>
      </c>
      <c r="W97" s="188">
        <f t="shared" ref="W97:W113" si="37">IF(C97="","",$B$33)</f>
        <v>0.25739999999999996</v>
      </c>
      <c r="X97" s="187">
        <f t="shared" ref="X97:X113" ca="1" si="38">IF(C97="","",tax_credit-(V97*W97 +Upstream_CO2_taxpYear + Proc_CO2_taxpYear))</f>
        <v>-625851.3380114832</v>
      </c>
      <c r="Y97" s="187">
        <f t="shared" ref="Y97:Y113" ca="1" si="39">IF(C97="","",SUM(T97,X97))</f>
        <v>3940749.4332858524</v>
      </c>
      <c r="Z97" s="187">
        <f>IF(C97="","",IF($B$31=0,"",-'Debt Financing Calculations'!F46))</f>
        <v>0</v>
      </c>
      <c r="AA97" s="187">
        <f t="shared" ref="AA97:AA113" ca="1" si="40">IF(C97="","",SUM(H97,I97,J97,K97,T97,X97,Z97))</f>
        <v>-20101.503317710944</v>
      </c>
      <c r="AB97" s="187">
        <f t="shared" ca="1" si="23"/>
        <v>269652143.17161089</v>
      </c>
      <c r="AC97" s="1156">
        <f t="shared" ref="AC97:AC113" ca="1" si="41">IF(C97="","",SUM(H97,I97,J97,K97,T97,Z97))</f>
        <v>605749.83469377225</v>
      </c>
      <c r="AD97" s="134"/>
      <c r="AE97" s="1160">
        <f t="shared" ref="AE97:AE113" ca="1" si="42">IF(C97="","",IF(C97&lt;0,0,IF(AND(C97=1,start_time&lt;1),(output_kgyear*start_time*percnt_revs+output_kgyear*(1-start_time)),IF(C97&lt;=start_time,output_kgyear*percnt_revs,output_kgyear))))</f>
        <v>124628629.5</v>
      </c>
      <c r="AF97" s="1156">
        <f t="shared" ref="AF97:AF113" si="43">IF(C97="","",tax_credit)</f>
        <v>0</v>
      </c>
    </row>
    <row r="98" spans="1:32" x14ac:dyDescent="0.25">
      <c r="A98" s="58">
        <f t="shared" si="21"/>
        <v>2070</v>
      </c>
      <c r="B98" s="185">
        <f>IF(MAX($B$65:B97)&lt;(construct+anal_period),B97+1,"")</f>
        <v>34</v>
      </c>
      <c r="C98" s="185">
        <f t="shared" si="22"/>
        <v>31</v>
      </c>
      <c r="D98" s="185">
        <f t="shared" si="25"/>
        <v>31</v>
      </c>
      <c r="E98" s="186">
        <f t="shared" si="26"/>
        <v>1.7588367045921991</v>
      </c>
      <c r="F98" s="59">
        <f t="shared" ca="1" si="27"/>
        <v>453131287.47045439</v>
      </c>
      <c r="G98" s="1169"/>
      <c r="H98" s="1178">
        <f t="shared" si="24"/>
        <v>0</v>
      </c>
      <c r="I98" s="187">
        <f ca="1">IF(OR(C98&lt;0,C98=""),"",-E98*INDEX('Replacement Costs'!$A$16:$H$57,MATCH(C98,'Replacement Costs'!$C$16:$C$57,0),MATCH("Total Yearly Replacement Costs",'Replacement Costs'!$A$16:$H$16,0)))</f>
        <v>-2569195.8602938154</v>
      </c>
      <c r="J98" s="187">
        <f ca="1">IF(AND(C98&gt;=1,C98&lt;anal_period),WorkingCap*SUM(N98:R98)-WorkingCap*SUM(N97:R97),IF(C98&lt;0,0,IF(B98="","",-SUM(J$65:J97))))</f>
        <v>-1472220.3236741573</v>
      </c>
      <c r="K98" s="187" t="str">
        <f t="shared" si="28"/>
        <v/>
      </c>
      <c r="L98" s="187" t="str">
        <f t="shared" si="29"/>
        <v/>
      </c>
      <c r="M98" s="187" t="str">
        <f t="shared" si="30"/>
        <v/>
      </c>
      <c r="N98" s="187">
        <f t="shared" ca="1" si="31"/>
        <v>-20445634.60054189</v>
      </c>
      <c r="O98" s="187">
        <f t="shared" ca="1" si="32"/>
        <v>-390014237.39752364</v>
      </c>
      <c r="P98" s="187">
        <f t="shared" ca="1" si="33"/>
        <v>0</v>
      </c>
      <c r="Q98" s="187">
        <f t="shared" ca="1" si="10"/>
        <v>0</v>
      </c>
      <c r="R98" s="187">
        <f t="shared" ca="1" si="34"/>
        <v>-33341053.042663604</v>
      </c>
      <c r="S98" s="187">
        <f ca="1">IF(B98="","",IF($B$31=0,"",-'Debt Financing Calculations'!E47))</f>
        <v>-6129599.6730380133</v>
      </c>
      <c r="T98" s="187">
        <f t="shared" ca="1" si="35"/>
        <v>3200762.7566872239</v>
      </c>
      <c r="U98" s="187">
        <f ca="1">IF(C98="","",IF(C98&lt;-1,0,IF(C98=anal_period,-LOOKUP(C98,depr_yr,depr_cost)-Depreciation!$C$141-Depreciation!$B$166,-LOOKUP(C98,depr_yr,depr_cost))))</f>
        <v>-2175734.0436299122</v>
      </c>
      <c r="V98" s="187">
        <f t="shared" ca="1" si="36"/>
        <v>1025028.7130573117</v>
      </c>
      <c r="W98" s="188">
        <f t="shared" si="37"/>
        <v>0.25739999999999996</v>
      </c>
      <c r="X98" s="187">
        <f t="shared" ca="1" si="38"/>
        <v>-263842.39074095199</v>
      </c>
      <c r="Y98" s="187">
        <f t="shared" ca="1" si="39"/>
        <v>2936920.3659462719</v>
      </c>
      <c r="Z98" s="187">
        <f>IF(C98="","",IF($B$31=0,"",-'Debt Financing Calculations'!F47))</f>
        <v>0</v>
      </c>
      <c r="AA98" s="187">
        <f t="shared" ca="1" si="40"/>
        <v>-1104495.8180217007</v>
      </c>
      <c r="AB98" s="187">
        <f t="shared" ca="1" si="23"/>
        <v>268547647.35358918</v>
      </c>
      <c r="AC98" s="1156">
        <f t="shared" ca="1" si="41"/>
        <v>-840653.42728074873</v>
      </c>
      <c r="AD98" s="134"/>
      <c r="AE98" s="1160">
        <f t="shared" ca="1" si="42"/>
        <v>124628629.5</v>
      </c>
      <c r="AF98" s="1156">
        <f t="shared" si="43"/>
        <v>0</v>
      </c>
    </row>
    <row r="99" spans="1:32" x14ac:dyDescent="0.25">
      <c r="A99" s="58">
        <f t="shared" si="21"/>
        <v>2071</v>
      </c>
      <c r="B99" s="185">
        <f>IF(MAX($B$65:B98)&lt;(construct+anal_period),B98+1,"")</f>
        <v>35</v>
      </c>
      <c r="C99" s="185">
        <f t="shared" si="22"/>
        <v>32</v>
      </c>
      <c r="D99" s="185">
        <f t="shared" si="25"/>
        <v>32</v>
      </c>
      <c r="E99" s="186">
        <f t="shared" si="26"/>
        <v>1.7922546019794507</v>
      </c>
      <c r="F99" s="59">
        <f t="shared" ca="1" si="27"/>
        <v>461740781.93239301</v>
      </c>
      <c r="G99" s="1169"/>
      <c r="H99" s="1178">
        <f t="shared" si="24"/>
        <v>0</v>
      </c>
      <c r="I99" s="187">
        <f ca="1">IF(OR(C99&lt;0,C99=""),"",-E99*INDEX('Replacement Costs'!$A$16:$H$57,MATCH(C99,'Replacement Costs'!$C$16:$C$57,0),MATCH("Total Yearly Replacement Costs",'Replacement Costs'!$A$16:$H$16,0)))</f>
        <v>-2618010.5816393974</v>
      </c>
      <c r="J99" s="187">
        <f ca="1">IF(AND(C99&gt;=1,C99&lt;anal_period),WorkingCap*SUM(N99:R99)-WorkingCap*SUM(N98:R98),IF(C99&lt;0,0,IF(B99="","",-SUM(J$65:J98))))</f>
        <v>-1463538.1890650988</v>
      </c>
      <c r="K99" s="187" t="str">
        <f t="shared" si="28"/>
        <v/>
      </c>
      <c r="L99" s="187" t="str">
        <f t="shared" si="29"/>
        <v/>
      </c>
      <c r="M99" s="187" t="str">
        <f t="shared" si="30"/>
        <v/>
      </c>
      <c r="N99" s="187">
        <f t="shared" ca="1" si="31"/>
        <v>-20834101.657952186</v>
      </c>
      <c r="O99" s="187">
        <f t="shared" ca="1" si="32"/>
        <v>-398744074.13318777</v>
      </c>
      <c r="P99" s="187">
        <f t="shared" ca="1" si="33"/>
        <v>0</v>
      </c>
      <c r="Q99" s="187">
        <f t="shared" ca="1" si="10"/>
        <v>0</v>
      </c>
      <c r="R99" s="187">
        <f t="shared" ca="1" si="34"/>
        <v>-33979670.510023259</v>
      </c>
      <c r="S99" s="187">
        <f ca="1">IF(B99="","",IF($B$31=0,"",-'Debt Financing Calculations'!E48))</f>
        <v>-6129599.6730380133</v>
      </c>
      <c r="T99" s="187">
        <f t="shared" ca="1" si="35"/>
        <v>2053335.958191812</v>
      </c>
      <c r="U99" s="187">
        <f ca="1">IF(C99="","",IF(C99&lt;-1,0,IF(C99=anal_period,-LOOKUP(C99,depr_yr,depr_cost)-Depreciation!$C$141-Depreciation!$B$166,-LOOKUP(C99,depr_yr,depr_cost))))</f>
        <v>-2217072.9904588806</v>
      </c>
      <c r="V99" s="187">
        <f t="shared" ca="1" si="36"/>
        <v>-163737.03226706851</v>
      </c>
      <c r="W99" s="188">
        <f t="shared" si="37"/>
        <v>0.25739999999999996</v>
      </c>
      <c r="X99" s="187">
        <f t="shared" ca="1" si="38"/>
        <v>42145.91210554343</v>
      </c>
      <c r="Y99" s="187">
        <f t="shared" ca="1" si="39"/>
        <v>2095481.8702973556</v>
      </c>
      <c r="Z99" s="187">
        <f>IF(C99="","",IF($B$31=0,"",-'Debt Financing Calculations'!F48))</f>
        <v>0</v>
      </c>
      <c r="AA99" s="187">
        <f t="shared" ca="1" si="40"/>
        <v>-1986066.9004071406</v>
      </c>
      <c r="AB99" s="187">
        <f t="shared" ca="1" si="23"/>
        <v>266561580.45318204</v>
      </c>
      <c r="AC99" s="1156">
        <f t="shared" ca="1" si="41"/>
        <v>-2028212.8125126841</v>
      </c>
      <c r="AD99" s="134"/>
      <c r="AE99" s="1160">
        <f t="shared" ca="1" si="42"/>
        <v>124628629.5</v>
      </c>
      <c r="AF99" s="1156">
        <f t="shared" si="43"/>
        <v>0</v>
      </c>
    </row>
    <row r="100" spans="1:32" x14ac:dyDescent="0.25">
      <c r="A100" s="58">
        <f t="shared" si="21"/>
        <v>2072</v>
      </c>
      <c r="B100" s="185">
        <f>IF(MAX($B$65:B99)&lt;(construct+anal_period),B99+1,"")</f>
        <v>36</v>
      </c>
      <c r="C100" s="185">
        <f t="shared" si="22"/>
        <v>33</v>
      </c>
      <c r="D100" s="185">
        <f t="shared" si="25"/>
        <v>33</v>
      </c>
      <c r="E100" s="186">
        <f t="shared" si="26"/>
        <v>1.8263074394170602</v>
      </c>
      <c r="F100" s="59">
        <f t="shared" ca="1" si="27"/>
        <v>470513856.78910846</v>
      </c>
      <c r="G100" s="1169"/>
      <c r="H100" s="1178">
        <f t="shared" si="24"/>
        <v>0</v>
      </c>
      <c r="I100" s="187">
        <f ca="1">IF(OR(C100&lt;0,C100=""),"",-E100*INDEX('Replacement Costs'!$A$16:$H$57,MATCH(C100,'Replacement Costs'!$C$16:$C$57,0),MATCH("Total Yearly Replacement Costs",'Replacement Costs'!$A$16:$H$16,0)))</f>
        <v>-2667752.782690546</v>
      </c>
      <c r="J100" s="187">
        <f ca="1">IF(AND(C100&gt;=1,C100&lt;anal_period),WorkingCap*SUM(N100:R100)-WorkingCap*SUM(N99:R99),IF(C100&lt;0,0,IF(B100="","",-SUM(J$65:J99))))</f>
        <v>-1495790.7464551479</v>
      </c>
      <c r="K100" s="187" t="str">
        <f t="shared" si="28"/>
        <v/>
      </c>
      <c r="L100" s="187" t="str">
        <f t="shared" si="29"/>
        <v/>
      </c>
      <c r="M100" s="187" t="str">
        <f t="shared" si="30"/>
        <v/>
      </c>
      <c r="N100" s="187">
        <f t="shared" ca="1" si="31"/>
        <v>-21229949.589453276</v>
      </c>
      <c r="O100" s="187">
        <f t="shared" ca="1" si="32"/>
        <v>-407669314.11858934</v>
      </c>
      <c r="P100" s="187">
        <f t="shared" ca="1" si="33"/>
        <v>0</v>
      </c>
      <c r="Q100" s="187">
        <f t="shared" ca="1" si="10"/>
        <v>0</v>
      </c>
      <c r="R100" s="187">
        <f t="shared" ca="1" si="34"/>
        <v>-34630520.902821489</v>
      </c>
      <c r="S100" s="187">
        <f ca="1">IF(B100="","",IF($B$31=0,"",-'Debt Financing Calculations'!E49))</f>
        <v>-6129599.6730380133</v>
      </c>
      <c r="T100" s="187">
        <f t="shared" ca="1" si="35"/>
        <v>854472.50520634651</v>
      </c>
      <c r="U100" s="187">
        <f ca="1">IF(C100="","",IF(C100&lt;-1,0,IF(C100=anal_period,-LOOKUP(C100,depr_yr,depr_cost)-Depreciation!$C$141-Depreciation!$B$166,-LOOKUP(C100,depr_yr,depr_cost))))</f>
        <v>-2259197.3772775996</v>
      </c>
      <c r="V100" s="187">
        <f t="shared" ca="1" si="36"/>
        <v>-1404724.8720712531</v>
      </c>
      <c r="W100" s="188">
        <f t="shared" si="37"/>
        <v>0.25739999999999996</v>
      </c>
      <c r="X100" s="187">
        <f t="shared" ca="1" si="38"/>
        <v>361576.1820711405</v>
      </c>
      <c r="Y100" s="187">
        <f t="shared" ca="1" si="39"/>
        <v>1216048.687277487</v>
      </c>
      <c r="Z100" s="187">
        <f>IF(C100="","",IF($B$31=0,"",-'Debt Financing Calculations'!F49))</f>
        <v>0</v>
      </c>
      <c r="AA100" s="187">
        <f t="shared" ca="1" si="40"/>
        <v>-2947494.8418682069</v>
      </c>
      <c r="AB100" s="187">
        <f t="shared" ca="1" si="23"/>
        <v>263614085.61131382</v>
      </c>
      <c r="AC100" s="1156">
        <f t="shared" ca="1" si="41"/>
        <v>-3309071.0239393474</v>
      </c>
      <c r="AD100" s="134"/>
      <c r="AE100" s="1160">
        <f t="shared" ca="1" si="42"/>
        <v>124628629.5</v>
      </c>
      <c r="AF100" s="1156">
        <f t="shared" si="43"/>
        <v>0</v>
      </c>
    </row>
    <row r="101" spans="1:32" x14ac:dyDescent="0.25">
      <c r="A101" s="58">
        <f t="shared" si="21"/>
        <v>2073</v>
      </c>
      <c r="B101" s="185">
        <f>IF(MAX($B$65:B100)&lt;(construct+anal_period),B100+1,"")</f>
        <v>37</v>
      </c>
      <c r="C101" s="185">
        <f t="shared" si="22"/>
        <v>34</v>
      </c>
      <c r="D101" s="185">
        <f t="shared" si="25"/>
        <v>34</v>
      </c>
      <c r="E101" s="186">
        <f t="shared" si="26"/>
        <v>1.8610072807659841</v>
      </c>
      <c r="F101" s="59">
        <f t="shared" ca="1" si="27"/>
        <v>479453620.06810147</v>
      </c>
      <c r="G101" s="1169"/>
      <c r="H101" s="1178">
        <f t="shared" si="24"/>
        <v>0</v>
      </c>
      <c r="I101" s="187">
        <f ca="1">IF(OR(C101&lt;0,C101=""),"",-E101*INDEX('Replacement Costs'!$A$16:$H$57,MATCH(C101,'Replacement Costs'!$C$16:$C$57,0),MATCH("Total Yearly Replacement Costs",'Replacement Costs'!$A$16:$H$16,0)))</f>
        <v>-2718440.0855616662</v>
      </c>
      <c r="J101" s="187">
        <f ca="1">IF(AND(C101&gt;=1,C101&lt;anal_period),WorkingCap*SUM(N101:R101)-WorkingCap*SUM(N100:R100),IF(C101&lt;0,0,IF(B101="","",-SUM(J$65:J100))))</f>
        <v>-1528755.5582245886</v>
      </c>
      <c r="K101" s="187" t="str">
        <f t="shared" si="28"/>
        <v/>
      </c>
      <c r="L101" s="187" t="str">
        <f t="shared" si="29"/>
        <v/>
      </c>
      <c r="M101" s="187" t="str">
        <f t="shared" si="30"/>
        <v/>
      </c>
      <c r="N101" s="187">
        <f t="shared" ca="1" si="31"/>
        <v>-21633318.631652884</v>
      </c>
      <c r="O101" s="187">
        <f t="shared" ca="1" si="32"/>
        <v>-416794331.13884747</v>
      </c>
      <c r="P101" s="187">
        <f t="shared" ca="1" si="33"/>
        <v>0</v>
      </c>
      <c r="Q101" s="187">
        <f t="shared" ca="1" si="10"/>
        <v>0</v>
      </c>
      <c r="R101" s="187">
        <f t="shared" ca="1" si="34"/>
        <v>-35293838.561861016</v>
      </c>
      <c r="S101" s="187">
        <f ca="1">IF(B101="","",IF($B$31=0,"",-'Debt Financing Calculations'!E50))</f>
        <v>-6129599.6730380133</v>
      </c>
      <c r="T101" s="187">
        <f t="shared" ca="1" si="35"/>
        <v>-397467.93729794025</v>
      </c>
      <c r="U101" s="187">
        <f ca="1">IF(C101="","",IF(C101&lt;-1,0,IF(C101=anal_period,-LOOKUP(C101,depr_yr,depr_cost)-Depreciation!$C$141-Depreciation!$B$166,-LOOKUP(C101,depr_yr,depr_cost))))</f>
        <v>-2302122.1274458733</v>
      </c>
      <c r="V101" s="187">
        <f t="shared" ca="1" si="36"/>
        <v>-2699590.0647438136</v>
      </c>
      <c r="W101" s="188">
        <f t="shared" si="37"/>
        <v>0.25739999999999996</v>
      </c>
      <c r="X101" s="187">
        <f t="shared" ca="1" si="38"/>
        <v>694874.48266505753</v>
      </c>
      <c r="Y101" s="187">
        <f t="shared" ca="1" si="39"/>
        <v>297406.54536711727</v>
      </c>
      <c r="Z101" s="187">
        <f>IF(C101="","",IF($B$31=0,"",-'Debt Financing Calculations'!F50))</f>
        <v>0</v>
      </c>
      <c r="AA101" s="187">
        <f t="shared" ca="1" si="40"/>
        <v>-3949789.0984191382</v>
      </c>
      <c r="AB101" s="187">
        <f t="shared" ca="1" si="23"/>
        <v>259664296.51289469</v>
      </c>
      <c r="AC101" s="1156">
        <f t="shared" ca="1" si="41"/>
        <v>-4644663.5810841955</v>
      </c>
      <c r="AD101" s="134"/>
      <c r="AE101" s="1160">
        <f t="shared" ca="1" si="42"/>
        <v>124628629.5</v>
      </c>
      <c r="AF101" s="1156">
        <f t="shared" si="43"/>
        <v>0</v>
      </c>
    </row>
    <row r="102" spans="1:32" x14ac:dyDescent="0.25">
      <c r="A102" s="58">
        <f t="shared" si="21"/>
        <v>2074</v>
      </c>
      <c r="B102" s="185">
        <f>IF(MAX($B$65:B101)&lt;(construct+anal_period),B101+1,"")</f>
        <v>38</v>
      </c>
      <c r="C102" s="185">
        <f t="shared" si="22"/>
        <v>35</v>
      </c>
      <c r="D102" s="185">
        <f t="shared" si="25"/>
        <v>35</v>
      </c>
      <c r="E102" s="186">
        <f t="shared" si="26"/>
        <v>1.8963664191005378</v>
      </c>
      <c r="F102" s="59">
        <f t="shared" ca="1" si="27"/>
        <v>488563238.84939539</v>
      </c>
      <c r="G102" s="1169"/>
      <c r="H102" s="1178">
        <f t="shared" si="24"/>
        <v>0</v>
      </c>
      <c r="I102" s="187">
        <f ca="1">IF(OR(C102&lt;0,C102=""),"",-E102*INDEX('Replacement Costs'!$A$16:$H$57,MATCH(C102,'Replacement Costs'!$C$16:$C$57,0),MATCH("Total Yearly Replacement Costs",'Replacement Costs'!$A$16:$H$16,0)))</f>
        <v>-2770090.4471873376</v>
      </c>
      <c r="J102" s="187">
        <f ca="1">IF(AND(C102&gt;=1,C102&lt;anal_period),WorkingCap*SUM(N102:R102)-WorkingCap*SUM(N101:R101),IF(C102&lt;0,0,IF(B102="","",-SUM(J$65:J101))))</f>
        <v>-1562448.3824798912</v>
      </c>
      <c r="K102" s="187" t="str">
        <f t="shared" si="28"/>
        <v/>
      </c>
      <c r="L102" s="187" t="str">
        <f t="shared" si="29"/>
        <v/>
      </c>
      <c r="M102" s="187" t="str">
        <f t="shared" si="30"/>
        <v/>
      </c>
      <c r="N102" s="187">
        <f t="shared" ca="1" si="31"/>
        <v>-22044351.68565429</v>
      </c>
      <c r="O102" s="187">
        <f t="shared" ca="1" si="32"/>
        <v>-426123596.87917441</v>
      </c>
      <c r="P102" s="187">
        <f t="shared" ca="1" si="33"/>
        <v>0</v>
      </c>
      <c r="Q102" s="187">
        <f t="shared" ca="1" si="10"/>
        <v>0</v>
      </c>
      <c r="R102" s="187">
        <f t="shared" ca="1" si="34"/>
        <v>-35969862.317398682</v>
      </c>
      <c r="S102" s="187">
        <f ca="1">IF(B102="","",IF($B$31=0,"",-'Debt Financing Calculations'!E51))</f>
        <v>-6129599.6730380133</v>
      </c>
      <c r="T102" s="187">
        <f t="shared" ca="1" si="35"/>
        <v>-1704171.7058699727</v>
      </c>
      <c r="U102" s="187">
        <f ca="1">IF(C102="","",IF(C102&lt;-1,0,IF(C102=anal_period,-LOOKUP(C102,depr_yr,depr_cost)-Depreciation!$C$141-Depreciation!$B$166,-LOOKUP(C102,depr_yr,depr_cost))))</f>
        <v>-2345862.4478673451</v>
      </c>
      <c r="V102" s="187">
        <f t="shared" ca="1" si="36"/>
        <v>-4050034.1537373178</v>
      </c>
      <c r="W102" s="188">
        <f t="shared" si="37"/>
        <v>0.25739999999999996</v>
      </c>
      <c r="X102" s="187">
        <f t="shared" ca="1" si="38"/>
        <v>1042478.7911719854</v>
      </c>
      <c r="Y102" s="187">
        <f t="shared" ca="1" si="39"/>
        <v>-661692.91469798726</v>
      </c>
      <c r="Z102" s="187">
        <f>IF(C102="","",IF($B$31=0,"",-'Debt Financing Calculations'!F51))</f>
        <v>0</v>
      </c>
      <c r="AA102" s="187">
        <f t="shared" ca="1" si="40"/>
        <v>-4994231.7443652162</v>
      </c>
      <c r="AB102" s="187">
        <f t="shared" ca="1" si="23"/>
        <v>254670064.76852947</v>
      </c>
      <c r="AC102" s="1156">
        <f t="shared" ca="1" si="41"/>
        <v>-6036710.5355372019</v>
      </c>
      <c r="AD102" s="134"/>
      <c r="AE102" s="1160">
        <f t="shared" ca="1" si="42"/>
        <v>124628629.5</v>
      </c>
      <c r="AF102" s="1156">
        <f t="shared" si="43"/>
        <v>0</v>
      </c>
    </row>
    <row r="103" spans="1:32" x14ac:dyDescent="0.25">
      <c r="A103" s="58">
        <f t="shared" si="21"/>
        <v>2075</v>
      </c>
      <c r="B103" s="185">
        <f>IF(MAX($B$65:B102)&lt;(construct+anal_period),B102+1,"")</f>
        <v>39</v>
      </c>
      <c r="C103" s="185">
        <f t="shared" si="22"/>
        <v>36</v>
      </c>
      <c r="D103" s="185">
        <f t="shared" si="25"/>
        <v>36</v>
      </c>
      <c r="E103" s="186">
        <f t="shared" si="26"/>
        <v>1.932397381063448</v>
      </c>
      <c r="F103" s="59">
        <f t="shared" ca="1" si="27"/>
        <v>497845940.3875339</v>
      </c>
      <c r="G103" s="1169"/>
      <c r="H103" s="1178">
        <f t="shared" si="24"/>
        <v>0</v>
      </c>
      <c r="I103" s="187">
        <f ca="1">IF(OR(C103&lt;0,C103=""),"",-E103*INDEX('Replacement Costs'!$A$16:$H$57,MATCH(C103,'Replacement Costs'!$C$16:$C$57,0),MATCH("Total Yearly Replacement Costs",'Replacement Costs'!$A$16:$H$16,0)))</f>
        <v>-2822722.1656838972</v>
      </c>
      <c r="J103" s="187">
        <f ca="1">IF(AND(C103&gt;=1,C103&lt;anal_period),WorkingCap*SUM(N103:R103)-WorkingCap*SUM(N102:R102),IF(C103&lt;0,0,IF(B103="","",-SUM(J$65:J102))))</f>
        <v>-1596885.3265234828</v>
      </c>
      <c r="K103" s="187" t="str">
        <f t="shared" si="28"/>
        <v/>
      </c>
      <c r="L103" s="187" t="str">
        <f t="shared" si="29"/>
        <v/>
      </c>
      <c r="M103" s="187" t="str">
        <f t="shared" si="30"/>
        <v/>
      </c>
      <c r="N103" s="187">
        <f t="shared" ca="1" si="31"/>
        <v>-22463194.367681723</v>
      </c>
      <c r="O103" s="187">
        <f t="shared" ca="1" si="32"/>
        <v>-435661683.11620975</v>
      </c>
      <c r="P103" s="187">
        <f t="shared" ca="1" si="33"/>
        <v>0</v>
      </c>
      <c r="Q103" s="187">
        <f t="shared" ca="1" si="10"/>
        <v>0</v>
      </c>
      <c r="R103" s="187">
        <f t="shared" ca="1" si="34"/>
        <v>-36658835.575159043</v>
      </c>
      <c r="S103" s="187">
        <f ca="1">IF(B103="","",IF($B$31=0,"",-'Debt Financing Calculations'!E52))</f>
        <v>-6129599.6730380133</v>
      </c>
      <c r="T103" s="187">
        <f t="shared" ca="1" si="35"/>
        <v>-3067372.3445546627</v>
      </c>
      <c r="U103" s="187">
        <f ca="1">IF(C103="","",IF(C103&lt;-1,0,IF(C103=anal_period,-LOOKUP(C103,depr_yr,depr_cost)-Depreciation!$C$141-Depreciation!$B$166,-LOOKUP(C103,depr_yr,depr_cost))))</f>
        <v>-2390433.8343768241</v>
      </c>
      <c r="V103" s="187">
        <f t="shared" ca="1" si="36"/>
        <v>-5457806.1789314868</v>
      </c>
      <c r="W103" s="188">
        <f t="shared" si="37"/>
        <v>0.25739999999999996</v>
      </c>
      <c r="X103" s="187">
        <f t="shared" ca="1" si="38"/>
        <v>1404839.3104569644</v>
      </c>
      <c r="Y103" s="187">
        <f t="shared" ca="1" si="39"/>
        <v>-1662533.0340976983</v>
      </c>
      <c r="Z103" s="187">
        <f>IF(C103="","",IF($B$31=0,"",-'Debt Financing Calculations'!F52))</f>
        <v>0</v>
      </c>
      <c r="AA103" s="187">
        <f t="shared" ca="1" si="40"/>
        <v>-6082140.5263050785</v>
      </c>
      <c r="AB103" s="187">
        <f t="shared" ca="1" si="23"/>
        <v>248587924.2422244</v>
      </c>
      <c r="AC103" s="1156">
        <f t="shared" ca="1" si="41"/>
        <v>-7486979.8367620427</v>
      </c>
      <c r="AD103" s="134"/>
      <c r="AE103" s="1160">
        <f t="shared" ca="1" si="42"/>
        <v>124628629.5</v>
      </c>
      <c r="AF103" s="1156">
        <f t="shared" si="43"/>
        <v>0</v>
      </c>
    </row>
    <row r="104" spans="1:32" x14ac:dyDescent="0.25">
      <c r="A104" s="58">
        <f t="shared" si="21"/>
        <v>2076</v>
      </c>
      <c r="B104" s="185">
        <f>IF(MAX($B$65:B103)&lt;(construct+anal_period),B103+1,"")</f>
        <v>40</v>
      </c>
      <c r="C104" s="185">
        <f t="shared" si="22"/>
        <v>37</v>
      </c>
      <c r="D104" s="185">
        <f t="shared" si="25"/>
        <v>37</v>
      </c>
      <c r="E104" s="186">
        <f t="shared" si="26"/>
        <v>1.9691129313036535</v>
      </c>
      <c r="F104" s="59">
        <f t="shared" ca="1" si="27"/>
        <v>507305013.254897</v>
      </c>
      <c r="G104" s="1169"/>
      <c r="H104" s="1178">
        <f t="shared" si="24"/>
        <v>0</v>
      </c>
      <c r="I104" s="187">
        <f ca="1">IF(OR(C104&lt;0,C104=""),"",-E104*INDEX('Replacement Costs'!$A$16:$H$57,MATCH(C104,'Replacement Costs'!$C$16:$C$57,0),MATCH("Total Yearly Replacement Costs",'Replacement Costs'!$A$16:$H$16,0)))</f>
        <v>-2876353.8868318913</v>
      </c>
      <c r="J104" s="187">
        <f ca="1">IF(AND(C104&gt;=1,C104&lt;anal_period),WorkingCap*SUM(N104:R104)-WorkingCap*SUM(N103:R103),IF(C104&lt;0,0,IF(B104="","",-SUM(J$65:J103))))</f>
        <v>-1551916.3911824822</v>
      </c>
      <c r="K104" s="187" t="str">
        <f t="shared" si="28"/>
        <v/>
      </c>
      <c r="L104" s="187" t="str">
        <f t="shared" si="29"/>
        <v/>
      </c>
      <c r="M104" s="187" t="str">
        <f t="shared" si="30"/>
        <v/>
      </c>
      <c r="N104" s="187">
        <f t="shared" ca="1" si="31"/>
        <v>-22889995.060667675</v>
      </c>
      <c r="O104" s="187">
        <f t="shared" ca="1" si="32"/>
        <v>-444886589.60907316</v>
      </c>
      <c r="P104" s="187">
        <f t="shared" ca="1" si="33"/>
        <v>0</v>
      </c>
      <c r="Q104" s="187">
        <f t="shared" ca="1" si="10"/>
        <v>0</v>
      </c>
      <c r="R104" s="187">
        <f t="shared" ca="1" si="34"/>
        <v>-37353237.663859546</v>
      </c>
      <c r="S104" s="187">
        <f ca="1">IF(B104="","",IF($B$31=0,"",-'Debt Financing Calculations'!E53))</f>
        <v>-6129599.6730380133</v>
      </c>
      <c r="T104" s="187">
        <f t="shared" ca="1" si="35"/>
        <v>-3954408.7517414093</v>
      </c>
      <c r="U104" s="187">
        <f ca="1">IF(C104="","",IF(C104&lt;-1,0,IF(C104=anal_period,-LOOKUP(C104,depr_yr,depr_cost)-Depreciation!$C$141-Depreciation!$B$166,-LOOKUP(C104,depr_yr,depr_cost))))</f>
        <v>-2435852.0772299836</v>
      </c>
      <c r="V104" s="187">
        <f t="shared" ca="1" si="36"/>
        <v>-6390260.8289713934</v>
      </c>
      <c r="W104" s="188">
        <f t="shared" si="37"/>
        <v>0.25739999999999996</v>
      </c>
      <c r="X104" s="187">
        <f t="shared" ca="1" si="38"/>
        <v>1644853.1373772365</v>
      </c>
      <c r="Y104" s="187">
        <f t="shared" ca="1" si="39"/>
        <v>-2309555.6143641728</v>
      </c>
      <c r="Z104" s="187">
        <f>IF(C104="","",IF($B$31=0,"",-'Debt Financing Calculations'!F53))</f>
        <v>0</v>
      </c>
      <c r="AA104" s="187">
        <f t="shared" ca="1" si="40"/>
        <v>-6737825.8923785463</v>
      </c>
      <c r="AB104" s="187">
        <f t="shared" ca="1" si="23"/>
        <v>241850098.34984586</v>
      </c>
      <c r="AC104" s="1156">
        <f t="shared" ca="1" si="41"/>
        <v>-8382679.0297557823</v>
      </c>
      <c r="AD104" s="134"/>
      <c r="AE104" s="1160">
        <f t="shared" ca="1" si="42"/>
        <v>124628629.5</v>
      </c>
      <c r="AF104" s="1156">
        <f t="shared" si="43"/>
        <v>0</v>
      </c>
    </row>
    <row r="105" spans="1:32" x14ac:dyDescent="0.25">
      <c r="A105" s="58">
        <f t="shared" si="21"/>
        <v>2077</v>
      </c>
      <c r="B105" s="185">
        <f>IF(MAX($B$65:B104)&lt;(construct+anal_period),B104+1,"")</f>
        <v>41</v>
      </c>
      <c r="C105" s="185">
        <f t="shared" si="22"/>
        <v>38</v>
      </c>
      <c r="D105" s="185">
        <f t="shared" si="25"/>
        <v>38</v>
      </c>
      <c r="E105" s="186">
        <f t="shared" si="26"/>
        <v>2.0065260769984223</v>
      </c>
      <c r="F105" s="59">
        <f t="shared" ca="1" si="27"/>
        <v>516943808.50673991</v>
      </c>
      <c r="G105" s="1169"/>
      <c r="H105" s="1178">
        <f t="shared" si="24"/>
        <v>0</v>
      </c>
      <c r="I105" s="187">
        <f ca="1">IF(OR(C105&lt;0,C105=""),"",-E105*INDEX('Replacement Costs'!$A$16:$H$57,MATCH(C105,'Replacement Costs'!$C$16:$C$57,0),MATCH("Total Yearly Replacement Costs",'Replacement Costs'!$A$16:$H$16,0)))</f>
        <v>-2931004.6106816963</v>
      </c>
      <c r="J105" s="187">
        <f ca="1">IF(AND(C105&gt;=1,C105&lt;anal_period),WorkingCap*SUM(N105:R105)-WorkingCap*SUM(N104:R104),IF(C105&lt;0,0,IF(B105="","",-SUM(J$65:J104))))</f>
        <v>-1584405.7055399269</v>
      </c>
      <c r="K105" s="187" t="str">
        <f t="shared" si="28"/>
        <v/>
      </c>
      <c r="L105" s="187" t="str">
        <f t="shared" si="29"/>
        <v/>
      </c>
      <c r="M105" s="187" t="str">
        <f t="shared" si="30"/>
        <v/>
      </c>
      <c r="N105" s="187">
        <f t="shared" ca="1" si="31"/>
        <v>-23324904.966820352</v>
      </c>
      <c r="O105" s="187">
        <f t="shared" ca="1" si="32"/>
        <v>-454306828.63426602</v>
      </c>
      <c r="P105" s="187">
        <f t="shared" ca="1" si="33"/>
        <v>0</v>
      </c>
      <c r="Q105" s="187">
        <f t="shared" ca="1" si="10"/>
        <v>0</v>
      </c>
      <c r="R105" s="187">
        <f t="shared" ca="1" si="34"/>
        <v>-38060793.436113626</v>
      </c>
      <c r="S105" s="187">
        <f ca="1">IF(B105="","",IF($B$31=0,"",-'Debt Financing Calculations'!E54))</f>
        <v>-6129599.6730380133</v>
      </c>
      <c r="T105" s="187">
        <f t="shared" ca="1" si="35"/>
        <v>-4878318.2034980655</v>
      </c>
      <c r="U105" s="187">
        <f ca="1">IF(C105="","",IF(C105&lt;-1,0,IF(C105=anal_period,-LOOKUP(C105,depr_yr,depr_cost)-Depreciation!$C$141-Depreciation!$B$166,-LOOKUP(C105,depr_yr,depr_cost))))</f>
        <v>-2482133.2666973537</v>
      </c>
      <c r="V105" s="187">
        <f t="shared" ca="1" si="36"/>
        <v>-7360451.4701954192</v>
      </c>
      <c r="W105" s="188">
        <f t="shared" si="37"/>
        <v>0.25739999999999996</v>
      </c>
      <c r="X105" s="187">
        <f t="shared" ca="1" si="38"/>
        <v>1894580.2084283007</v>
      </c>
      <c r="Y105" s="187">
        <f t="shared" ca="1" si="39"/>
        <v>-2983737.9950697646</v>
      </c>
      <c r="Z105" s="187">
        <f>IF(C105="","",IF($B$31=0,"",-'Debt Financing Calculations'!F54))</f>
        <v>0</v>
      </c>
      <c r="AA105" s="187">
        <f t="shared" ca="1" si="40"/>
        <v>-7499148.3112913873</v>
      </c>
      <c r="AB105" s="187">
        <f t="shared" ca="1" si="23"/>
        <v>234350950.03855446</v>
      </c>
      <c r="AC105" s="1156">
        <f t="shared" ca="1" si="41"/>
        <v>-9393728.5197196882</v>
      </c>
      <c r="AD105" s="134"/>
      <c r="AE105" s="1160">
        <f t="shared" ca="1" si="42"/>
        <v>124628629.5</v>
      </c>
      <c r="AF105" s="1156">
        <f t="shared" si="43"/>
        <v>0</v>
      </c>
    </row>
    <row r="106" spans="1:32" x14ac:dyDescent="0.25">
      <c r="A106" s="58">
        <f t="shared" si="21"/>
        <v>2078</v>
      </c>
      <c r="B106" s="185">
        <f>IF(MAX($B$65:B105)&lt;(construct+anal_period),B105+1,"")</f>
        <v>42</v>
      </c>
      <c r="C106" s="185">
        <f t="shared" si="22"/>
        <v>39</v>
      </c>
      <c r="D106" s="185">
        <f t="shared" si="25"/>
        <v>39</v>
      </c>
      <c r="E106" s="186">
        <f t="shared" si="26"/>
        <v>2.0446500724613927</v>
      </c>
      <c r="F106" s="59">
        <f t="shared" ca="1" si="27"/>
        <v>526765740.86836809</v>
      </c>
      <c r="G106" s="1169"/>
      <c r="H106" s="1178">
        <f t="shared" si="24"/>
        <v>0</v>
      </c>
      <c r="I106" s="187">
        <f ca="1">IF(OR(C106&lt;0,C106=""),"",-E106*INDEX('Replacement Costs'!$A$16:$H$57,MATCH(C106,'Replacement Costs'!$C$16:$C$57,0),MATCH("Total Yearly Replacement Costs",'Replacement Costs'!$A$16:$H$16,0)))</f>
        <v>-2986693.6982846488</v>
      </c>
      <c r="J106" s="187">
        <f ca="1">IF(AND(C106&gt;=1,C106&lt;anal_period),WorkingCap*SUM(N106:R106)-WorkingCap*SUM(N105:R105),IF(C106&lt;0,0,IF(B106="","",-SUM(J$65:J105))))</f>
        <v>-1617575.9154800177</v>
      </c>
      <c r="K106" s="187" t="str">
        <f t="shared" si="28"/>
        <v/>
      </c>
      <c r="L106" s="187" t="str">
        <f t="shared" si="29"/>
        <v/>
      </c>
      <c r="M106" s="187" t="str">
        <f t="shared" si="30"/>
        <v/>
      </c>
      <c r="N106" s="187">
        <f t="shared" ca="1" si="31"/>
        <v>-23768078.161189944</v>
      </c>
      <c r="O106" s="187">
        <f t="shared" ca="1" si="32"/>
        <v>-463926536.25519657</v>
      </c>
      <c r="P106" s="187">
        <f t="shared" ca="1" si="33"/>
        <v>0</v>
      </c>
      <c r="Q106" s="187">
        <f t="shared" ca="1" si="10"/>
        <v>0</v>
      </c>
      <c r="R106" s="187">
        <f t="shared" ca="1" si="34"/>
        <v>-38781752.057346888</v>
      </c>
      <c r="S106" s="187">
        <f ca="1">IF(B106="","",IF($B$31=0,"",-'Debt Financing Calculations'!E55))</f>
        <v>-6129599.6730380133</v>
      </c>
      <c r="T106" s="187">
        <f ca="1">IF(C106="","",F106+SUM(L106:S106))</f>
        <v>-5840225.2784032822</v>
      </c>
      <c r="U106" s="187">
        <f ca="1">IF(C106="","",IF(C106&lt;-1,0,IF(C106=anal_period,-LOOKUP(C106,depr_yr,depr_cost)-Depreciation!$C$141-Depreciation!$B$166,-LOOKUP(C106,depr_yr,depr_cost))))</f>
        <v>-2529293.7987646032</v>
      </c>
      <c r="V106" s="187">
        <f t="shared" ca="1" si="36"/>
        <v>-8369519.0771678854</v>
      </c>
      <c r="W106" s="188">
        <f t="shared" si="37"/>
        <v>0.25739999999999996</v>
      </c>
      <c r="X106" s="187">
        <f t="shared" ca="1" si="38"/>
        <v>2154314.2104630135</v>
      </c>
      <c r="Y106" s="187">
        <f t="shared" ca="1" si="39"/>
        <v>-3685911.0679402687</v>
      </c>
      <c r="Z106" s="187">
        <f>IF(C106="","",IF($B$31=0,"",-'Debt Financing Calculations'!F55))</f>
        <v>0</v>
      </c>
      <c r="AA106" s="187">
        <f t="shared" ca="1" si="40"/>
        <v>-8290180.6817049347</v>
      </c>
      <c r="AB106" s="187">
        <f t="shared" ca="1" si="23"/>
        <v>226060769.35684952</v>
      </c>
      <c r="AC106" s="1156">
        <f ca="1">IF(C106="","",SUM(H106,I106,J106,K106,T106,Z106))</f>
        <v>-10444494.892167948</v>
      </c>
      <c r="AD106" s="134"/>
      <c r="AE106" s="1160">
        <f t="shared" ca="1" si="42"/>
        <v>124628629.5</v>
      </c>
      <c r="AF106" s="1156">
        <f t="shared" si="43"/>
        <v>0</v>
      </c>
    </row>
    <row r="107" spans="1:32" x14ac:dyDescent="0.25">
      <c r="A107" s="58">
        <f t="shared" si="21"/>
        <v>2079</v>
      </c>
      <c r="B107" s="185">
        <f>IF(MAX($B$65:B106)&lt;(construct+anal_period),B106+1,"")</f>
        <v>43</v>
      </c>
      <c r="C107" s="185">
        <f t="shared" si="22"/>
        <v>40</v>
      </c>
      <c r="D107" s="185">
        <f t="shared" si="25"/>
        <v>40</v>
      </c>
      <c r="E107" s="186">
        <f t="shared" si="26"/>
        <v>2.0834984238381593</v>
      </c>
      <c r="F107" s="59">
        <f t="shared" ca="1" si="27"/>
        <v>536774289.94486707</v>
      </c>
      <c r="G107" s="1169"/>
      <c r="H107" s="1178">
        <f t="shared" si="24"/>
        <v>0</v>
      </c>
      <c r="I107" s="187">
        <f ca="1">IF(OR(C107&lt;0,C107=""),"",-E107*INDEX('Replacement Costs'!$A$16:$H$57,MATCH(C107,'Replacement Costs'!$C$16:$C$57,0),MATCH("Total Yearly Replacement Costs",'Replacement Costs'!$A$16:$H$16,0)))</f>
        <v>-3043440.8785520573</v>
      </c>
      <c r="J107" s="187">
        <f ca="1">IF(AND(C107&gt;=1,C107&lt;anal_period),WorkingCap*SUM(N107:R107)-WorkingCap*SUM(N106:R106),IF(C107&lt;0,0,IF(B107="","",-SUM(J$65:J106))))</f>
        <v>78971454.971060008</v>
      </c>
      <c r="K107" s="187" t="str">
        <f t="shared" si="28"/>
        <v/>
      </c>
      <c r="L107" s="187">
        <f t="shared" ca="1" si="29"/>
        <v>61048962.526925415</v>
      </c>
      <c r="M107" s="187">
        <f t="shared" ca="1" si="30"/>
        <v>-60868817.571041152</v>
      </c>
      <c r="N107" s="187">
        <f t="shared" ca="1" si="31"/>
        <v>-24219671.646252554</v>
      </c>
      <c r="O107" s="187">
        <f t="shared" ca="1" si="32"/>
        <v>-473749936.11423492</v>
      </c>
      <c r="P107" s="187">
        <f t="shared" ca="1" si="33"/>
        <v>0</v>
      </c>
      <c r="Q107" s="187">
        <f t="shared" ca="1" si="10"/>
        <v>0</v>
      </c>
      <c r="R107" s="187">
        <f t="shared" ca="1" si="34"/>
        <v>-39516367.41287829</v>
      </c>
      <c r="S107" s="187">
        <f ca="1">IF(B107="","",IF($B$31=0,"",-'Debt Financing Calculations'!E56))</f>
        <v>-6129599.6730380133</v>
      </c>
      <c r="T107" s="187">
        <f t="shared" ca="1" si="35"/>
        <v>-6661139.9456524253</v>
      </c>
      <c r="U107" s="187">
        <f ca="1">IF(C107="","",IF(C107&lt;-1,0,IF(C107=anal_period,-LOOKUP(C107,depr_yr,depr_cost)-Depreciation!$C$141-Depreciation!$B$166,-LOOKUP(C107,depr_yr,depr_cost))))</f>
        <v>-27574519.700179823</v>
      </c>
      <c r="V107" s="187">
        <f t="shared" ca="1" si="36"/>
        <v>-34235659.645832248</v>
      </c>
      <c r="W107" s="188">
        <f t="shared" si="37"/>
        <v>0.25739999999999996</v>
      </c>
      <c r="X107" s="187">
        <f t="shared" ca="1" si="38"/>
        <v>8812258.7928372193</v>
      </c>
      <c r="Y107" s="187">
        <f t="shared" ca="1" si="39"/>
        <v>2151118.847184794</v>
      </c>
      <c r="Z107" s="187">
        <f ca="1">IF(C107="","",IF($B$31=0,"",-'Debt Financing Calculations'!F56))</f>
        <v>-165664856.02805442</v>
      </c>
      <c r="AA107" s="187">
        <f t="shared" ca="1" si="40"/>
        <v>-87585723.088361681</v>
      </c>
      <c r="AB107" s="187">
        <f t="shared" ca="1" si="23"/>
        <v>138475046.26848784</v>
      </c>
      <c r="AC107" s="1156">
        <f t="shared" ca="1" si="41"/>
        <v>-96397981.881198898</v>
      </c>
      <c r="AD107" s="134"/>
      <c r="AE107" s="1160">
        <f t="shared" ca="1" si="42"/>
        <v>124628629.5</v>
      </c>
      <c r="AF107" s="1156">
        <f t="shared" si="43"/>
        <v>0</v>
      </c>
    </row>
    <row r="108" spans="1:32" x14ac:dyDescent="0.25">
      <c r="A108" s="58" t="str">
        <f t="shared" si="21"/>
        <v/>
      </c>
      <c r="B108" s="185" t="str">
        <f>IF(MAX($B$65:B107)&lt;(construct+anal_period),B107+1,"")</f>
        <v/>
      </c>
      <c r="C108" s="185" t="str">
        <f t="shared" si="22"/>
        <v/>
      </c>
      <c r="D108" s="185" t="str">
        <f t="shared" si="25"/>
        <v/>
      </c>
      <c r="E108" s="186" t="str">
        <f t="shared" si="26"/>
        <v/>
      </c>
      <c r="F108" s="59" t="str">
        <f t="shared" si="27"/>
        <v/>
      </c>
      <c r="G108" s="1169"/>
      <c r="H108" s="1178"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6" t="str">
        <f t="shared" si="41"/>
        <v/>
      </c>
      <c r="AD108" s="134"/>
      <c r="AE108" s="1160" t="str">
        <f t="shared" si="42"/>
        <v/>
      </c>
      <c r="AF108" s="1156" t="str">
        <f t="shared" si="43"/>
        <v/>
      </c>
    </row>
    <row r="109" spans="1:32" x14ac:dyDescent="0.25">
      <c r="A109" s="58" t="str">
        <f t="shared" si="21"/>
        <v/>
      </c>
      <c r="B109" s="185" t="str">
        <f>IF(MAX($B$65:B108)&lt;(construct+anal_period),B108+1,"")</f>
        <v/>
      </c>
      <c r="C109" s="185" t="str">
        <f t="shared" si="22"/>
        <v/>
      </c>
      <c r="D109" s="185" t="str">
        <f t="shared" si="25"/>
        <v/>
      </c>
      <c r="E109" s="186" t="str">
        <f t="shared" si="26"/>
        <v/>
      </c>
      <c r="F109" s="59" t="str">
        <f t="shared" si="27"/>
        <v/>
      </c>
      <c r="G109" s="1169"/>
      <c r="H109" s="1178"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6" t="str">
        <f t="shared" si="41"/>
        <v/>
      </c>
      <c r="AD109" s="134"/>
      <c r="AE109" s="1160" t="str">
        <f t="shared" si="42"/>
        <v/>
      </c>
      <c r="AF109" s="1156" t="str">
        <f t="shared" si="43"/>
        <v/>
      </c>
    </row>
    <row r="110" spans="1:32" x14ac:dyDescent="0.25">
      <c r="A110" s="58" t="str">
        <f t="shared" si="21"/>
        <v/>
      </c>
      <c r="B110" s="185" t="str">
        <f>IF(MAX($B$65:B109)&lt;(construct+anal_period),B109+1,"")</f>
        <v/>
      </c>
      <c r="C110" s="185" t="str">
        <f t="shared" si="22"/>
        <v/>
      </c>
      <c r="D110" s="185" t="str">
        <f t="shared" si="25"/>
        <v/>
      </c>
      <c r="E110" s="186" t="str">
        <f t="shared" si="26"/>
        <v/>
      </c>
      <c r="F110" s="59" t="str">
        <f t="shared" si="27"/>
        <v/>
      </c>
      <c r="G110" s="1169"/>
      <c r="H110" s="1178"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6" t="str">
        <f t="shared" si="41"/>
        <v/>
      </c>
      <c r="AD110" s="134"/>
      <c r="AE110" s="1160" t="str">
        <f t="shared" si="42"/>
        <v/>
      </c>
      <c r="AF110" s="1156" t="str">
        <f t="shared" si="43"/>
        <v/>
      </c>
    </row>
    <row r="111" spans="1:32" x14ac:dyDescent="0.25">
      <c r="A111" s="58" t="str">
        <f t="shared" si="21"/>
        <v/>
      </c>
      <c r="B111" s="185" t="str">
        <f>IF(MAX($B$65:B110)&lt;(construct+anal_period),B110+1,"")</f>
        <v/>
      </c>
      <c r="C111" s="185" t="str">
        <f t="shared" si="22"/>
        <v/>
      </c>
      <c r="D111" s="185" t="str">
        <f t="shared" si="25"/>
        <v/>
      </c>
      <c r="E111" s="186" t="str">
        <f t="shared" si="26"/>
        <v/>
      </c>
      <c r="F111" s="59" t="str">
        <f t="shared" si="27"/>
        <v/>
      </c>
      <c r="G111" s="1169"/>
      <c r="H111" s="1178"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6" t="str">
        <f t="shared" si="41"/>
        <v/>
      </c>
      <c r="AD111" s="134"/>
      <c r="AE111" s="1160" t="str">
        <f t="shared" si="42"/>
        <v/>
      </c>
      <c r="AF111" s="1156" t="str">
        <f t="shared" si="43"/>
        <v/>
      </c>
    </row>
    <row r="112" spans="1:32" x14ac:dyDescent="0.25">
      <c r="A112" s="58" t="str">
        <f t="shared" si="21"/>
        <v/>
      </c>
      <c r="B112" s="185" t="str">
        <f>IF(MAX($B$65:B111)&lt;(construct+anal_period),B111+1,"")</f>
        <v/>
      </c>
      <c r="C112" s="185" t="str">
        <f t="shared" si="22"/>
        <v/>
      </c>
      <c r="D112" s="185" t="str">
        <f t="shared" si="25"/>
        <v/>
      </c>
      <c r="E112" s="186" t="str">
        <f t="shared" si="26"/>
        <v/>
      </c>
      <c r="F112" s="59" t="str">
        <f t="shared" si="27"/>
        <v/>
      </c>
      <c r="G112" s="1169"/>
      <c r="H112" s="1178"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6" t="str">
        <f t="shared" si="41"/>
        <v/>
      </c>
      <c r="AD112" s="134"/>
      <c r="AE112" s="1160" t="str">
        <f t="shared" si="42"/>
        <v/>
      </c>
      <c r="AF112" s="1156" t="str">
        <f t="shared" si="43"/>
        <v/>
      </c>
    </row>
    <row r="113" spans="1:33" ht="13" thickBot="1" x14ac:dyDescent="0.3">
      <c r="A113" s="61" t="str">
        <f t="shared" si="21"/>
        <v/>
      </c>
      <c r="B113" s="189" t="str">
        <f>IF(MAX($B$65:B112)&lt;(construct+anal_period),B112+1,"")</f>
        <v/>
      </c>
      <c r="C113" s="189" t="str">
        <f t="shared" si="22"/>
        <v/>
      </c>
      <c r="D113" s="189" t="str">
        <f t="shared" si="25"/>
        <v/>
      </c>
      <c r="E113" s="1163" t="str">
        <f t="shared" si="26"/>
        <v/>
      </c>
      <c r="F113" s="1164" t="str">
        <f t="shared" si="27"/>
        <v/>
      </c>
      <c r="G113" s="1171"/>
      <c r="H113" s="1180" t="str">
        <f t="shared" si="24"/>
        <v/>
      </c>
      <c r="I113" s="1165" t="str">
        <f>IF(OR(C113&lt;0,C113=""),"",-E113*INDEX('Replacement Costs'!$A$16:$H$57,MATCH(C113,'Replacement Costs'!$C$16:$C$57,0),MATCH("Total Yearly Replacement Costs",'Replacement Costs'!$A$16:$H$16,0)))</f>
        <v/>
      </c>
      <c r="J113" s="1165" t="str">
        <f>IF(AND(C113&gt;=1,C113&lt;anal_period),WorkingCap*SUM(N113:R113)-WorkingCap*SUM(N112:R112),IF(C113&lt;0,0,IF(B113="","",-SUM(J$65:J112))))</f>
        <v/>
      </c>
      <c r="K113" s="1165" t="str">
        <f t="shared" si="28"/>
        <v/>
      </c>
      <c r="L113" s="1165" t="str">
        <f t="shared" si="29"/>
        <v/>
      </c>
      <c r="M113" s="1165" t="str">
        <f t="shared" si="30"/>
        <v/>
      </c>
      <c r="N113" s="1165" t="str">
        <f t="shared" si="31"/>
        <v/>
      </c>
      <c r="O113" s="1165" t="str">
        <f>IF(C113="","",IF(C113&lt;0,0,IF(AND(C113=1,start_time&lt;1),-(SUM(B280:E280)*output_kgyear*E113*percnt_var*start_time+SUM(B280:E280)*output_kgyear*E113*(1-start_time)),IF(C113&lt;=start_time,-SUM(B280:E280)*output_kgyear*E113*percnt_var,-SUM(B280:E280)*output_kgyear*E113))))</f>
        <v/>
      </c>
      <c r="P113" s="1165" t="str">
        <f t="shared" si="33"/>
        <v/>
      </c>
      <c r="Q113" s="1165" t="str">
        <f>IF(C113="","",IF(C113&lt;0,0,IF(AND(C113=1,start_time&lt;1),SUM(K280:N280,T280:V280)*output_kgyear*E113*percnt_revs*start_time+SUM(K280:N280,T280:V280)*output_kgyear*E113*(1-start_time),IF(C113&lt;=start_time,SUM(K280:N280,T280:V280)*output_kgyear*E113*percnt_revs,SUM(K280:N280,T280:V280)*output_kgyear*E113))))</f>
        <v/>
      </c>
      <c r="R113" s="1165"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65" t="str">
        <f>IF(B113="","",IF($B$31=0,"",-'Debt Financing Calculations'!E62))</f>
        <v/>
      </c>
      <c r="T113" s="1165" t="str">
        <f t="shared" si="35"/>
        <v/>
      </c>
      <c r="U113" s="1165" t="str">
        <f>IF(C113="","",IF(C113&lt;-1,0,IF(C113=anal_period,-LOOKUP(C113,depr_yr,depr_cost)-Depreciation!$C$141-Depreciation!$B$166,-LOOKUP(C113,depr_yr,depr_cost))))</f>
        <v/>
      </c>
      <c r="V113" s="1165" t="str">
        <f t="shared" si="36"/>
        <v/>
      </c>
      <c r="W113" s="1166" t="str">
        <f t="shared" si="37"/>
        <v/>
      </c>
      <c r="X113" s="1165" t="str">
        <f t="shared" si="38"/>
        <v/>
      </c>
      <c r="Y113" s="1165" t="str">
        <f t="shared" si="39"/>
        <v/>
      </c>
      <c r="Z113" s="1165" t="str">
        <f>IF(C113="","",IF($B$31=0,"",-'Debt Financing Calculations'!F62))</f>
        <v/>
      </c>
      <c r="AA113" s="1165" t="str">
        <f t="shared" si="40"/>
        <v/>
      </c>
      <c r="AB113" s="1165" t="str">
        <f t="shared" si="23"/>
        <v/>
      </c>
      <c r="AC113" s="1167" t="str">
        <f t="shared" si="41"/>
        <v/>
      </c>
      <c r="AD113" s="134"/>
      <c r="AE113" s="1162" t="str">
        <f t="shared" si="42"/>
        <v/>
      </c>
      <c r="AF113" s="1158" t="str">
        <f t="shared" si="43"/>
        <v/>
      </c>
    </row>
    <row r="114" spans="1:33" ht="13" thickTop="1" x14ac:dyDescent="0.25">
      <c r="A114" s="134"/>
      <c r="B114" s="134"/>
      <c r="C114" s="134"/>
      <c r="D114" s="134"/>
      <c r="E114" s="1181" t="s">
        <v>149</v>
      </c>
      <c r="F114" s="1182">
        <f t="shared" ref="F114:AC114" ca="1" si="44">SUM(F65:F113)</f>
        <v>15099697950.147264</v>
      </c>
      <c r="G114" s="1182">
        <f t="shared" ca="1" si="44"/>
        <v>-165664856.02805442</v>
      </c>
      <c r="H114" s="1182">
        <f t="shared" ca="1" si="44"/>
        <v>-113058038.42682917</v>
      </c>
      <c r="I114" s="1182">
        <f t="shared" ca="1" si="44"/>
        <v>-86343704.593581855</v>
      </c>
      <c r="J114" s="1182">
        <f t="shared" ca="1" si="44"/>
        <v>0</v>
      </c>
      <c r="K114" s="1182">
        <f t="shared" ca="1" si="44"/>
        <v>-817158.64191369258</v>
      </c>
      <c r="L114" s="1182">
        <f t="shared" ca="1" si="44"/>
        <v>61048962.526925415</v>
      </c>
      <c r="M114" s="1182">
        <f t="shared" ca="1" si="44"/>
        <v>-60868817.571041152</v>
      </c>
      <c r="N114" s="1182">
        <f t="shared" ca="1" si="44"/>
        <v>-684216195.18933225</v>
      </c>
      <c r="O114" s="1182">
        <f t="shared" ca="1" si="44"/>
        <v>-12488216150.712463</v>
      </c>
      <c r="P114" s="1182">
        <f t="shared" ca="1" si="44"/>
        <v>0</v>
      </c>
      <c r="Q114" s="1182">
        <f t="shared" ca="1" si="44"/>
        <v>0</v>
      </c>
      <c r="R114" s="1182">
        <f t="shared" ca="1" si="44"/>
        <v>-1111232697.4866924</v>
      </c>
      <c r="S114" s="1182">
        <f t="shared" ca="1" si="44"/>
        <v>-263572785.94063434</v>
      </c>
      <c r="T114" s="1182">
        <f t="shared" ca="1" si="44"/>
        <v>552640265.77402639</v>
      </c>
      <c r="U114" s="1182">
        <f t="shared" ca="1" si="44"/>
        <v>-365066599.04846531</v>
      </c>
      <c r="V114" s="1182">
        <f t="shared" ca="1" si="44"/>
        <v>187573666.72556111</v>
      </c>
      <c r="W114" s="1182">
        <f t="shared" si="44"/>
        <v>11.068200000000001</v>
      </c>
      <c r="X114" s="1182">
        <f t="shared" ca="1" si="44"/>
        <v>-48281461.81515941</v>
      </c>
      <c r="Y114" s="1182">
        <f t="shared" ca="1" si="44"/>
        <v>504358803.95886707</v>
      </c>
      <c r="Z114" s="1182">
        <f t="shared" ca="1" si="44"/>
        <v>-165664856.02805442</v>
      </c>
      <c r="AA114" s="1182">
        <f t="shared" ca="1" si="44"/>
        <v>138475046.26848784</v>
      </c>
      <c r="AB114" s="1182">
        <f t="shared" ca="1" si="44"/>
        <v>5806572567.4425936</v>
      </c>
      <c r="AC114" s="1183">
        <f t="shared" ca="1" si="44"/>
        <v>186756508.08364737</v>
      </c>
      <c r="AD114" s="134"/>
    </row>
    <row r="115" spans="1:33" ht="13" thickBot="1" x14ac:dyDescent="0.3">
      <c r="E115" s="1184" t="s">
        <v>150</v>
      </c>
      <c r="F115" s="1165">
        <f t="shared" ref="F115:AC115" ca="1" si="45">NPV(nominal_irr,F65:F113)</f>
        <v>2174090828.0739532</v>
      </c>
      <c r="G115" s="1165">
        <f t="shared" ca="1" si="45"/>
        <v>-150533253.39662561</v>
      </c>
      <c r="H115" s="1165">
        <f t="shared" ca="1" si="45"/>
        <v>-91313870.729812264</v>
      </c>
      <c r="I115" s="1165">
        <f t="shared" ca="1" si="45"/>
        <v>-12824723.084030747</v>
      </c>
      <c r="J115" s="1165">
        <f t="shared" ca="1" si="45"/>
        <v>-26833646.19195579</v>
      </c>
      <c r="K115" s="1165">
        <f t="shared" ca="1" si="45"/>
        <v>-742520.48296595481</v>
      </c>
      <c r="L115" s="1165">
        <f t="shared" ca="1" si="45"/>
        <v>993040.33680150611</v>
      </c>
      <c r="M115" s="1165">
        <f t="shared" ca="1" si="45"/>
        <v>-990110.04609287216</v>
      </c>
      <c r="N115" s="1165">
        <f t="shared" ca="1" si="45"/>
        <v>-100077839.02127948</v>
      </c>
      <c r="O115" s="1165">
        <f t="shared" ca="1" si="45"/>
        <v>-1705754265.2187665</v>
      </c>
      <c r="P115" s="1165">
        <f t="shared" ca="1" si="45"/>
        <v>0</v>
      </c>
      <c r="Q115" s="1165">
        <f t="shared" ca="1" si="45"/>
        <v>0</v>
      </c>
      <c r="R115" s="1165">
        <f t="shared" ca="1" si="45"/>
        <v>-161457312.28483152</v>
      </c>
      <c r="S115" s="1165">
        <f t="shared" ca="1" si="45"/>
        <v>-59987005.63344916</v>
      </c>
      <c r="T115" s="1165">
        <f t="shared" ca="1" si="45"/>
        <v>146817336.20633471</v>
      </c>
      <c r="U115" s="1165">
        <f t="shared" ca="1" si="45"/>
        <v>-98612897.349332303</v>
      </c>
      <c r="V115" s="1165">
        <f t="shared" ca="1" si="45"/>
        <v>48204438.857002459</v>
      </c>
      <c r="W115" s="1165">
        <f t="shared" ca="1" si="45"/>
        <v>2.5190315964626389</v>
      </c>
      <c r="X115" s="1165">
        <f t="shared" ca="1" si="45"/>
        <v>-12407822.561792433</v>
      </c>
      <c r="Y115" s="1165">
        <f t="shared" ca="1" si="45"/>
        <v>134409513.64454234</v>
      </c>
      <c r="Z115" s="1165">
        <f t="shared" ca="1" si="45"/>
        <v>-2694753.1557758222</v>
      </c>
      <c r="AA115" s="1165">
        <f t="shared" ca="1" si="45"/>
        <v>1.7183245081931535E-6</v>
      </c>
      <c r="AB115" s="1165">
        <f t="shared" ca="1" si="45"/>
        <v>-22408234.505366806</v>
      </c>
      <c r="AC115" s="1167">
        <f t="shared" ca="1" si="45"/>
        <v>12407822.561794169</v>
      </c>
      <c r="AD115" s="134"/>
    </row>
    <row r="116" spans="1:33" ht="13" thickBot="1" x14ac:dyDescent="0.3">
      <c r="D116" s="191"/>
      <c r="E116" s="1185" t="s">
        <v>1118</v>
      </c>
      <c r="F116" s="1186">
        <f t="shared" ref="F116:AC116" ca="1" si="46">+F65+NPV($X$59,F66:F113)</f>
        <v>2392630438.1119456</v>
      </c>
      <c r="G116" s="1186">
        <f t="shared" ca="1" si="46"/>
        <v>-165664856.02805442</v>
      </c>
      <c r="H116" s="1186">
        <f ca="1">+H65+NPV($X$59,H66:H113)</f>
        <v>-100492741.01557299</v>
      </c>
      <c r="I116" s="1186">
        <f t="shared" ca="1" si="46"/>
        <v>-14113864.248437518</v>
      </c>
      <c r="J116" s="1186">
        <f t="shared" ca="1" si="46"/>
        <v>-29530964.307171181</v>
      </c>
      <c r="K116" s="1186">
        <f t="shared" ca="1" si="46"/>
        <v>-817158.64191369258</v>
      </c>
      <c r="L116" s="1186">
        <f t="shared" ca="1" si="46"/>
        <v>1092860.7514567936</v>
      </c>
      <c r="M116" s="1186">
        <f t="shared" ca="1" si="46"/>
        <v>-1089635.9079261275</v>
      </c>
      <c r="N116" s="1186">
        <f t="shared" ca="1" si="46"/>
        <v>-110137663.39969848</v>
      </c>
      <c r="O116" s="1186">
        <f t="shared" ca="1" si="46"/>
        <v>-1877216683.9585564</v>
      </c>
      <c r="P116" s="1186">
        <f t="shared" ca="1" si="46"/>
        <v>0</v>
      </c>
      <c r="Q116" s="1186">
        <f t="shared" ca="1" si="46"/>
        <v>0</v>
      </c>
      <c r="R116" s="1186">
        <f t="shared" ca="1" si="46"/>
        <v>-177687001.31570274</v>
      </c>
      <c r="S116" s="1186">
        <f t="shared" ca="1" si="46"/>
        <v>-66016899.439723469</v>
      </c>
      <c r="T116" s="1186">
        <f t="shared" ca="1" si="46"/>
        <v>161575414.8417955</v>
      </c>
      <c r="U116" s="1186">
        <f t="shared" ca="1" si="46"/>
        <v>-108525465.79088719</v>
      </c>
      <c r="V116" s="1186">
        <f t="shared" ca="1" si="46"/>
        <v>53049949.050908342</v>
      </c>
      <c r="W116" s="1186">
        <f t="shared" ca="1" si="46"/>
        <v>2.7722446525390634</v>
      </c>
      <c r="X116" s="1186">
        <f t="shared" ca="1" si="46"/>
        <v>-13655056.885703806</v>
      </c>
      <c r="Y116" s="1186">
        <f t="shared" ca="1" si="46"/>
        <v>147920357.95609164</v>
      </c>
      <c r="Z116" s="1186">
        <f t="shared" ca="1" si="46"/>
        <v>-2965629.7429944077</v>
      </c>
      <c r="AA116" s="1186">
        <f t="shared" ca="1" si="46"/>
        <v>1.8738210201263428E-6</v>
      </c>
      <c r="AB116" s="1186">
        <f t="shared" ca="1" si="46"/>
        <v>-24660710.237846255</v>
      </c>
      <c r="AC116" s="1187">
        <f t="shared" ca="1" si="46"/>
        <v>13655056.885705693</v>
      </c>
      <c r="AD116" s="1188"/>
      <c r="AE116" s="1189">
        <f ca="1">+AE65+NPV(real_irr,AE66:AE113)</f>
        <v>1224665447.1183949</v>
      </c>
      <c r="AF116" s="1190">
        <f ca="1">+AF65+NPV($X$59,AF66:AF113)</f>
        <v>0</v>
      </c>
      <c r="AG116" s="1191"/>
    </row>
    <row r="117" spans="1:33" ht="16.5" thickTop="1" thickBot="1" x14ac:dyDescent="0.4">
      <c r="A117" s="49" t="s">
        <v>79</v>
      </c>
      <c r="B117" s="149"/>
      <c r="C117" s="149"/>
      <c r="D117" s="149"/>
      <c r="E117" s="1192" t="s">
        <v>1174</v>
      </c>
      <c r="F117" s="1206"/>
      <c r="G117" s="1206"/>
      <c r="H117" s="1206">
        <f ca="1">-H116/$AE$116*(1+inflation_rate)^construct/INFLATION_FACTOR</f>
        <v>5.5266169313149496E-2</v>
      </c>
      <c r="I117" s="1206">
        <f ca="1">-I116/$AE$116*(1+inflation_rate)^construct/INFLATION_FACTOR</f>
        <v>7.7619458215004659E-3</v>
      </c>
      <c r="J117" s="1206">
        <f ca="1">-J116/$AE$116*(1+inflation_rate)^construct/INFLATION_FACTOR</f>
        <v>1.6240608594085239E-2</v>
      </c>
      <c r="K117" s="1206">
        <f ca="1">-K116/$AE$116*(1+inflation_rate)^construct/INFLATION_FACTOR</f>
        <v>4.4939791076757435E-4</v>
      </c>
      <c r="L117" s="1206"/>
      <c r="M117" s="1206">
        <f ca="1">-M116/$AE$116*(1+inflation_rate)^construct/INFLATION_FACTOR</f>
        <v>5.9924728859570725E-4</v>
      </c>
      <c r="N117" s="1206">
        <f ca="1">-N116/$AE$116*(1+inflation_rate)^construct/INFLATION_FACTOR</f>
        <v>6.0570412267480507E-2</v>
      </c>
      <c r="O117" s="1206">
        <f ca="1">-O116/$AE$116*(1+inflation_rate)^construct/INFLATION_FACTOR</f>
        <v>1.0323787971615324</v>
      </c>
      <c r="P117" s="1206">
        <f ca="1">-P116/$AE$116*(1+inflation_rate)^construct/INFLATION_FACTOR</f>
        <v>0</v>
      </c>
      <c r="Q117" s="1206"/>
      <c r="R117" s="1206">
        <f ca="1">-R116/$AE$116*(1+inflation_rate)^construct/INFLATION_FACTOR</f>
        <v>9.7719295943352394E-2</v>
      </c>
      <c r="S117" s="1206">
        <f ca="1">-S116/$AE$116*(1+inflation_rate)^construct/INFLATION_FACTOR</f>
        <v>3.6306116293509466E-2</v>
      </c>
      <c r="T117" s="1206"/>
      <c r="U117" s="1206"/>
      <c r="V117" s="1206"/>
      <c r="W117" s="1206"/>
      <c r="X117" s="1206">
        <f ca="1">-X116/$AE$116*(1+inflation_rate)^construct/INFLATION_FACTOR</f>
        <v>7.5096238613796707E-3</v>
      </c>
      <c r="Y117" s="1206"/>
      <c r="Z117" s="1206">
        <f ca="1">-Z116/$AE$116*(1+inflation_rate)^construct/INFLATION_FACTOR</f>
        <v>1.6309535777419199E-3</v>
      </c>
      <c r="AA117" s="1206"/>
      <c r="AB117" s="1206"/>
      <c r="AC117" s="1207"/>
      <c r="AD117" s="1208"/>
      <c r="AE117" s="1209"/>
      <c r="AF117" s="1209"/>
      <c r="AG117" s="1207">
        <f ca="1">+SUM(F117:AC117)</f>
        <v>1.3164325680330948</v>
      </c>
    </row>
    <row r="118" spans="1:33" ht="15" customHeight="1" thickTop="1" thickBot="1" x14ac:dyDescent="0.35">
      <c r="A118" s="54" t="s">
        <v>80</v>
      </c>
      <c r="B118" s="56" t="s">
        <v>151</v>
      </c>
      <c r="C118" s="56" t="s">
        <v>152</v>
      </c>
      <c r="D118" s="1089" t="s">
        <v>153</v>
      </c>
      <c r="E118" s="1193" t="s">
        <v>1175</v>
      </c>
      <c r="F118" s="1210">
        <f ca="1">F116/$AE$116*(1+inflation_rate)^construct/INFLATION_FACTOR</f>
        <v>1.3158315472358189</v>
      </c>
      <c r="G118" s="1210"/>
      <c r="H118" s="1210"/>
      <c r="I118" s="1210"/>
      <c r="J118" s="1210"/>
      <c r="K118" s="1210"/>
      <c r="L118" s="1210">
        <f ca="1">L116/$AE$116*(1+inflation_rate)^construct/INFLATION_FACTOR</f>
        <v>6.0102079727676302E-4</v>
      </c>
      <c r="M118" s="1210"/>
      <c r="N118" s="1210"/>
      <c r="O118" s="1210"/>
      <c r="P118" s="1210"/>
      <c r="Q118" s="1210">
        <f ca="1">Q116/$AE$116*(1+inflation_rate)^construct/INFLATION_FACTOR</f>
        <v>0</v>
      </c>
      <c r="R118" s="1210"/>
      <c r="S118" s="1210"/>
      <c r="T118" s="1210"/>
      <c r="U118" s="1210"/>
      <c r="V118" s="1210"/>
      <c r="W118" s="1210"/>
      <c r="X118" s="1210"/>
      <c r="Y118" s="1210"/>
      <c r="Z118" s="1210"/>
      <c r="AA118" s="1210"/>
      <c r="AB118" s="1210"/>
      <c r="AC118" s="1211"/>
      <c r="AD118" s="1212"/>
      <c r="AE118" s="1213"/>
      <c r="AF118" s="1213"/>
      <c r="AG118" s="1211">
        <f ca="1">+SUM(F118:AC118)</f>
        <v>1.3164325680330957</v>
      </c>
    </row>
    <row r="119" spans="1:33" ht="15" customHeight="1" x14ac:dyDescent="0.25">
      <c r="A119" s="194" t="s">
        <v>154</v>
      </c>
      <c r="B119" s="187">
        <f ca="1">(SUM(H115:K115)+L115*(1-total_tax_rate)+S115*(1-total_tax_rate)+U115*(-total_tax_rate)+Z115)/(1-total_tax_rate)</f>
        <v>-205811301.50298005</v>
      </c>
      <c r="C119" s="195">
        <f t="shared" ref="C119:C125" ca="1" si="47">B119/SUM($B$118:$B$125)</f>
        <v>9.4665456863782652E-2</v>
      </c>
      <c r="D119" s="196">
        <f t="shared" ref="D119:D125" ca="1" si="48">H2_price_real*C119</f>
        <v>0.1245637945748567</v>
      </c>
      <c r="E119" s="192"/>
    </row>
    <row r="120" spans="1:33" ht="15" customHeight="1" x14ac:dyDescent="0.25">
      <c r="A120" s="194" t="s">
        <v>84</v>
      </c>
      <c r="B120" s="187">
        <f ca="1">M115</f>
        <v>-990110.04609287216</v>
      </c>
      <c r="C120" s="195">
        <f t="shared" ca="1" si="47"/>
        <v>4.5541337708048793E-4</v>
      </c>
      <c r="D120" s="196">
        <f t="shared" ca="1" si="48"/>
        <v>5.9924728859570735E-4</v>
      </c>
      <c r="E120" s="192"/>
      <c r="V120" s="151"/>
      <c r="W120" s="134"/>
      <c r="X120" s="134"/>
      <c r="Y120" s="134"/>
    </row>
    <row r="121" spans="1:33" ht="15" customHeight="1" x14ac:dyDescent="0.25">
      <c r="A121" s="194" t="s">
        <v>85</v>
      </c>
      <c r="B121" s="187">
        <f ca="1">N115</f>
        <v>-100077839.02127948</v>
      </c>
      <c r="C121" s="195">
        <f t="shared" ca="1" si="47"/>
        <v>4.603204140736819E-2</v>
      </c>
      <c r="D121" s="196">
        <f t="shared" ca="1" si="48"/>
        <v>6.0570412267480514E-2</v>
      </c>
      <c r="E121" s="192"/>
      <c r="V121" s="151"/>
      <c r="W121" s="134"/>
      <c r="X121" s="134"/>
      <c r="Y121" s="134"/>
    </row>
    <row r="122" spans="1:33" ht="15" customHeight="1" x14ac:dyDescent="0.25">
      <c r="A122" s="194" t="s">
        <v>1004</v>
      </c>
      <c r="B122" s="187">
        <f ca="1">O115</f>
        <v>-1705754265.2187665</v>
      </c>
      <c r="C122" s="195">
        <f t="shared" ca="1" si="47"/>
        <v>0.7845827981022816</v>
      </c>
      <c r="D122" s="196">
        <f t="shared" ca="1" si="48"/>
        <v>1.0323787971615324</v>
      </c>
      <c r="E122" s="192"/>
      <c r="V122" s="151"/>
      <c r="W122" s="134"/>
      <c r="X122" s="134"/>
      <c r="Y122" s="134"/>
    </row>
    <row r="123" spans="1:33" ht="15" customHeight="1" x14ac:dyDescent="0.25">
      <c r="A123" s="194" t="s">
        <v>86</v>
      </c>
      <c r="B123" s="187">
        <f ca="1">P115</f>
        <v>0</v>
      </c>
      <c r="C123" s="195">
        <f t="shared" ca="1" si="47"/>
        <v>0</v>
      </c>
      <c r="D123" s="196">
        <f t="shared" ca="1" si="48"/>
        <v>0</v>
      </c>
      <c r="E123" s="192"/>
      <c r="V123" s="151"/>
      <c r="W123" s="134"/>
      <c r="X123" s="134"/>
      <c r="Y123" s="134"/>
    </row>
    <row r="124" spans="1:33" ht="15" customHeight="1" x14ac:dyDescent="0.25">
      <c r="A124" s="194" t="s">
        <v>87</v>
      </c>
      <c r="B124" s="187">
        <f ca="1">Q115</f>
        <v>0</v>
      </c>
      <c r="C124" s="195">
        <f t="shared" ca="1" si="47"/>
        <v>0</v>
      </c>
      <c r="D124" s="196">
        <f t="shared" ca="1" si="48"/>
        <v>0</v>
      </c>
      <c r="E124" s="192"/>
      <c r="V124" s="151"/>
      <c r="W124" s="134"/>
      <c r="X124" s="134"/>
      <c r="Y124" s="134"/>
    </row>
    <row r="125" spans="1:33" ht="29.25" customHeight="1" thickBot="1" x14ac:dyDescent="0.3">
      <c r="A125" s="197" t="s">
        <v>88</v>
      </c>
      <c r="B125" s="190">
        <f ca="1">R115</f>
        <v>-161457312.28483152</v>
      </c>
      <c r="C125" s="198">
        <f t="shared" ca="1" si="47"/>
        <v>7.4264290249487067E-2</v>
      </c>
      <c r="D125" s="199">
        <f t="shared" ca="1" si="48"/>
        <v>9.7719295943352422E-2</v>
      </c>
      <c r="E125" s="192"/>
      <c r="V125" s="151"/>
      <c r="W125" s="134"/>
      <c r="X125" s="134"/>
      <c r="Y125" s="134"/>
    </row>
    <row r="126" spans="1:33" ht="15" customHeight="1" thickTop="1" x14ac:dyDescent="0.25">
      <c r="D126" s="191"/>
      <c r="E126" s="192"/>
      <c r="K126"/>
      <c r="L126"/>
      <c r="M126"/>
      <c r="V126" s="151"/>
      <c r="W126" s="134"/>
      <c r="X126" s="134"/>
      <c r="Y126" s="134"/>
    </row>
    <row r="127" spans="1:33" ht="15" customHeight="1" x14ac:dyDescent="0.25">
      <c r="D127" s="191"/>
      <c r="E127" s="192"/>
      <c r="K127"/>
      <c r="L127"/>
      <c r="M127"/>
      <c r="V127" s="151"/>
      <c r="W127" s="134"/>
      <c r="X127" s="134"/>
      <c r="Y127" s="134"/>
    </row>
    <row r="128" spans="1:33" ht="42.75" customHeight="1" thickBot="1" x14ac:dyDescent="0.3">
      <c r="A128" s="228" t="s">
        <v>261</v>
      </c>
      <c r="B128" s="417">
        <f>(1+inflation_rate)^(startup_year-ref_year)</f>
        <v>1.5710153055430329</v>
      </c>
      <c r="P128" s="841"/>
    </row>
    <row r="129" spans="1:22" ht="51.75" customHeight="1" thickBot="1" x14ac:dyDescent="0.4">
      <c r="A129" s="200" t="s">
        <v>155</v>
      </c>
      <c r="B129" s="201"/>
      <c r="C129" s="201"/>
      <c r="D129" s="201"/>
      <c r="E129" s="201"/>
      <c r="F129" s="201"/>
      <c r="G129" s="201"/>
      <c r="H129" s="201"/>
      <c r="I129" s="201"/>
      <c r="J129" s="201"/>
      <c r="K129" s="201"/>
      <c r="L129" s="201"/>
      <c r="M129" s="201"/>
      <c r="N129" s="201"/>
      <c r="O129" s="201"/>
      <c r="P129" s="840"/>
      <c r="Q129" s="201"/>
      <c r="R129" s="201"/>
      <c r="S129" s="201"/>
      <c r="T129" s="201"/>
      <c r="U129" s="201"/>
      <c r="V129" s="236"/>
    </row>
    <row r="130" spans="1:22" ht="31.9" customHeight="1" thickTop="1" thickBot="1" x14ac:dyDescent="0.4">
      <c r="A130" s="374"/>
      <c r="B130" s="202" t="s">
        <v>67</v>
      </c>
      <c r="C130" s="230"/>
      <c r="D130" s="230"/>
      <c r="E130" s="149"/>
      <c r="F130" s="203" t="s">
        <v>68</v>
      </c>
      <c r="G130" s="230"/>
      <c r="H130" s="230"/>
      <c r="I130" s="231"/>
      <c r="J130" s="595" t="s">
        <v>1002</v>
      </c>
      <c r="K130" s="233" t="s">
        <v>69</v>
      </c>
      <c r="L130" s="149"/>
      <c r="M130" s="149"/>
      <c r="N130" s="193"/>
      <c r="O130" s="395" t="s">
        <v>70</v>
      </c>
      <c r="P130" s="400"/>
      <c r="Q130" s="400"/>
      <c r="R130" s="401"/>
      <c r="S130" s="202" t="s">
        <v>73</v>
      </c>
      <c r="T130" s="411"/>
      <c r="U130" s="411"/>
      <c r="V130" s="412"/>
    </row>
    <row r="131" spans="1:22" ht="30.75" customHeight="1" thickTop="1" thickBot="1" x14ac:dyDescent="0.4">
      <c r="A131" s="375" t="s">
        <v>263</v>
      </c>
      <c r="B131" s="377" t="str">
        <f>Input_Sheet_Template!$B$75</f>
        <v>Industrial Natural Gas</v>
      </c>
      <c r="C131" s="378"/>
      <c r="D131" s="378"/>
      <c r="E131" s="378"/>
      <c r="F131" s="379" t="str">
        <f>Input_Sheet_Template!$B$78</f>
        <v>Industrial Electricity</v>
      </c>
      <c r="G131" s="378"/>
      <c r="H131" s="378"/>
      <c r="I131" s="380"/>
      <c r="J131" s="603" t="str">
        <f ca="1">IF(CO2_CashFlow_eUse&gt;0,'HyARC Physical Property Data'!A77,"")</f>
        <v/>
      </c>
      <c r="K131" s="597"/>
      <c r="L131" s="381"/>
      <c r="M131" s="381"/>
      <c r="N131" s="382"/>
      <c r="O131" s="396" t="s">
        <v>71</v>
      </c>
      <c r="P131" s="402" t="str">
        <f>Input_Sheet_Template!$B$138</f>
        <v>Demineralized Water</v>
      </c>
      <c r="Q131" s="402" t="str">
        <f>Input_Sheet_Template!$B$140</f>
        <v>Cooling Water</v>
      </c>
      <c r="R131" s="403"/>
      <c r="S131" s="396" t="s">
        <v>71</v>
      </c>
      <c r="T131" s="402"/>
      <c r="U131" s="402"/>
      <c r="V131" s="403"/>
    </row>
    <row r="132" spans="1:22" ht="31.5" customHeight="1" thickBot="1" x14ac:dyDescent="0.4">
      <c r="A132" s="376" t="s">
        <v>933</v>
      </c>
      <c r="B132" s="383">
        <f>Input_Sheet_Template!$C$75</f>
        <v>1.0549999999999999</v>
      </c>
      <c r="C132" s="384"/>
      <c r="D132" s="384"/>
      <c r="E132" s="384"/>
      <c r="F132" s="385">
        <f>Input_Sheet_Template!$C$78</f>
        <v>3.5999999999999995E-3</v>
      </c>
      <c r="G132" s="384"/>
      <c r="H132" s="384"/>
      <c r="I132" s="386"/>
      <c r="J132" s="604">
        <f ca="1">IF(J131="",0,VLOOKUP(J131,MASTER_PROPERTY_TABLE,9,FALSE))</f>
        <v>0</v>
      </c>
      <c r="K132" s="598"/>
      <c r="L132" s="387"/>
      <c r="M132" s="387"/>
      <c r="N132" s="388"/>
      <c r="O132" s="397" t="s">
        <v>264</v>
      </c>
      <c r="P132" s="842">
        <f>Input_Sheet_Template!$D$138</f>
        <v>3.355</v>
      </c>
      <c r="Q132" s="842">
        <f>Input_Sheet_Template!$D$140</f>
        <v>1.4950000000000001</v>
      </c>
      <c r="R132" s="843"/>
      <c r="S132" s="397" t="s">
        <v>264</v>
      </c>
      <c r="T132" s="404"/>
      <c r="U132" s="404"/>
      <c r="V132" s="405"/>
    </row>
    <row r="133" spans="1:22" ht="16.5" customHeight="1" thickBot="1" x14ac:dyDescent="0.4">
      <c r="A133" s="376" t="s">
        <v>264</v>
      </c>
      <c r="B133" s="383">
        <f ca="1">feedstockIndustrial_Natural_Gas_Usage</f>
        <v>0.156</v>
      </c>
      <c r="C133" s="384"/>
      <c r="D133" s="384"/>
      <c r="E133" s="384"/>
      <c r="F133" s="385">
        <f ca="1">utilityIndustrial_Electricity_Usage</f>
        <v>0.6</v>
      </c>
      <c r="G133" s="384"/>
      <c r="H133" s="384"/>
      <c r="I133" s="386"/>
      <c r="J133" s="604">
        <f ca="1" xml:space="preserve"> CO2_eUse_kWhpkg</f>
        <v>0</v>
      </c>
      <c r="K133" s="598"/>
      <c r="L133" s="387"/>
      <c r="M133" s="387"/>
      <c r="N133" s="388"/>
      <c r="O133" s="397" t="s">
        <v>72</v>
      </c>
      <c r="P133" s="404">
        <f>Input_Sheet_Template!$C$138</f>
        <v>7.1248532835024025E-3</v>
      </c>
      <c r="Q133" s="404">
        <f>Input_Sheet_Template!$C$140</f>
        <v>1.1334993860117458E-4</v>
      </c>
      <c r="R133" s="405"/>
      <c r="S133" s="397" t="s">
        <v>74</v>
      </c>
      <c r="T133" s="404"/>
      <c r="U133" s="404"/>
      <c r="V133" s="405"/>
    </row>
    <row r="134" spans="1:22" ht="16.5" customHeight="1" thickBot="1" x14ac:dyDescent="0.4">
      <c r="A134" s="376" t="s">
        <v>265</v>
      </c>
      <c r="B134" s="383">
        <f>feedstockIndustrial_Natural_Gas_Price</f>
        <v>5.9307141943176465</v>
      </c>
      <c r="C134" s="384"/>
      <c r="D134" s="384"/>
      <c r="E134" s="384"/>
      <c r="F134" s="385">
        <f>utilityIndustrial_Electricity_Price</f>
        <v>7.7596976084681746E-2</v>
      </c>
      <c r="G134" s="384"/>
      <c r="H134" s="384"/>
      <c r="I134" s="386"/>
      <c r="J134" s="604">
        <f ca="1">IF(J131="",0,CO2_eCost)</f>
        <v>0</v>
      </c>
      <c r="K134" s="598"/>
      <c r="L134" s="387"/>
      <c r="M134" s="387"/>
      <c r="N134" s="388"/>
      <c r="O134" s="398" t="s">
        <v>266</v>
      </c>
      <c r="P134" s="406" t="str">
        <f>Input_Sheet_Template!$F$138</f>
        <v>Yes</v>
      </c>
      <c r="Q134" s="406" t="str">
        <f>Input_Sheet_Template!$F$140</f>
        <v>Yes</v>
      </c>
      <c r="R134" s="407"/>
      <c r="S134" s="398" t="s">
        <v>266</v>
      </c>
      <c r="T134" s="413"/>
      <c r="U134" s="413"/>
      <c r="V134" s="414"/>
    </row>
    <row r="135" spans="1:22" ht="16.5" customHeight="1" thickBot="1" x14ac:dyDescent="0.4">
      <c r="A135" s="418" t="s">
        <v>266</v>
      </c>
      <c r="B135" s="389" t="str">
        <f>Input_Sheet_Template!$G$75</f>
        <v>yes</v>
      </c>
      <c r="C135" s="390"/>
      <c r="D135" s="390"/>
      <c r="E135" s="390"/>
      <c r="F135" s="391" t="str">
        <f>Input_Sheet_Template!$G$78</f>
        <v>yes</v>
      </c>
      <c r="G135" s="390"/>
      <c r="H135" s="390"/>
      <c r="I135" s="392"/>
      <c r="J135" s="605" t="str">
        <f ca="1">IF(J131="","","yes")</f>
        <v/>
      </c>
      <c r="K135" s="599"/>
      <c r="L135" s="393"/>
      <c r="M135" s="393"/>
      <c r="N135" s="394"/>
      <c r="O135" s="399"/>
      <c r="P135" s="408"/>
      <c r="Q135" s="408"/>
      <c r="R135" s="409"/>
      <c r="S135" s="410"/>
      <c r="T135" s="415"/>
      <c r="U135" s="415"/>
      <c r="V135" s="416"/>
    </row>
    <row r="136" spans="1:22" ht="30" customHeight="1" thickBot="1" x14ac:dyDescent="0.4">
      <c r="A136" s="376" t="s">
        <v>530</v>
      </c>
      <c r="B136" s="534">
        <f ca="1">IF(B131="",0,VLOOKUP(B131,MASTER_PROPERTY_TABLE,11,FALSE)*B132*B133)</f>
        <v>9.2683784333672445</v>
      </c>
      <c r="C136" s="535">
        <f>IF(C131="",0,VLOOKUP(C131,MASTER_PROPERTY_TABLE,11,FALSE)*C132*C133)</f>
        <v>0</v>
      </c>
      <c r="D136" s="535">
        <f>IF(D131="",0,VLOOKUP(D131,MASTER_PROPERTY_TABLE,11,FALSE)*D132*D133)</f>
        <v>0</v>
      </c>
      <c r="E136" s="536">
        <f>IF(E131="",0,VLOOKUP(E131,MASTER_PROPERTY_TABLE,11,FALSE)*E132*E133)</f>
        <v>0</v>
      </c>
      <c r="F136" s="534">
        <f ca="1">IF(F131="",,VLOOKUP(F131,MASTER_PROPERTY_TABLE,11,FALSE)*F132*F133)</f>
        <v>0</v>
      </c>
      <c r="G136" s="535">
        <f>IF(G131="",,VLOOKUP(G131,MASTER_PROPERTY_TABLE,11,FALSE)*G132*G133)</f>
        <v>0</v>
      </c>
      <c r="H136" s="535">
        <f>IF(H131="",,VLOOKUP(H131,MASTER_PROPERTY_TABLE,11,FALSE)*H132*H133)</f>
        <v>0</v>
      </c>
      <c r="I136" s="535">
        <f>IF(I131="",,VLOOKUP(I131,MASTER_PROPERTY_TABLE,11,FALSE)*I132*I133)</f>
        <v>0</v>
      </c>
      <c r="J136" s="536">
        <f ca="1">IF($J$131="",0,VLOOKUP($J$131,MASTER_PROPERTY_TABLE,12,FALSE)*$J$132*$J$133)</f>
        <v>0</v>
      </c>
      <c r="K136" s="384"/>
      <c r="L136" s="387"/>
      <c r="M136" s="387"/>
      <c r="N136" s="388"/>
      <c r="O136" s="421"/>
      <c r="P136" s="419"/>
      <c r="Q136" s="419"/>
      <c r="R136" s="420"/>
      <c r="S136" s="422"/>
      <c r="T136" s="423"/>
      <c r="U136" s="423"/>
      <c r="V136" s="424"/>
    </row>
    <row r="137" spans="1:22" ht="30" customHeight="1" thickBot="1" x14ac:dyDescent="0.4">
      <c r="A137" s="533" t="s">
        <v>934</v>
      </c>
      <c r="B137" s="425">
        <f ca="1">IF(B131="",0,IF(VLOOKUP(B131,MASTER_PROPERTY_TABLE,12,FALSE)="English",mmBTU_to_GJ,1))</f>
        <v>1</v>
      </c>
      <c r="C137" s="426">
        <f>IF(C131="",0,IF(VLOOKUP(C131,MASTER_PROPERTY_TABLE,12,FALSE)="English",mmBTU_to_GJ,1))</f>
        <v>0</v>
      </c>
      <c r="D137" s="426">
        <f>IF(D131="",0,IF(VLOOKUP(D131,MASTER_PROPERTY_TABLE,12,FALSE)="English",mmBTU_to_GJ,1))</f>
        <v>0</v>
      </c>
      <c r="E137" s="427">
        <f>IF(E131="",,IF(VLOOKUP(E131,MASTER_PROPERTY_TABLE,12,FALSE)="English",mmBTU_to_GJ,1))</f>
        <v>0</v>
      </c>
      <c r="F137" s="425">
        <f ca="1">IF(F131="",,IF(VLOOKUP(F131,MASTER_PROPERTY_TABLE,12,FALSE)="English",mmBTU_to_GJ,1))</f>
        <v>1</v>
      </c>
      <c r="G137" s="426">
        <f>IF(G131="",,IF(VLOOKUP(G131,MASTER_PROPERTY_TABLE,12,FALSE)="English",mmBTU_to_GJ,1))</f>
        <v>0</v>
      </c>
      <c r="H137" s="426">
        <f>IF(H131="",,IF(VLOOKUP(H131,MASTER_PROPERTY_TABLE,12,FALSE)="English",mmBTU_to_GJ,1))</f>
        <v>0</v>
      </c>
      <c r="I137" s="426">
        <f>IF(I131="",,IF(VLOOKUP(I131,MASTER_PROPERTY_TABLE,12,FALSE)="English",mmBTU_to_GJ,1))</f>
        <v>0</v>
      </c>
      <c r="J137" s="427">
        <f ca="1">IF($J$131="",0,IF(VLOOKUP($J$131,MASTER_PROPERTY_TABLE,12,FALSE)="English",mmBTU_to_GJ,1))</f>
        <v>0</v>
      </c>
      <c r="K137" s="426">
        <f>IF(K131="",,IF(VLOOKUP(K131,MASTER_PROPERTY_TABLE,12,FALSE)="English",mmBTU_to_GJ,1))</f>
        <v>0</v>
      </c>
      <c r="L137" s="426">
        <f>IF(L131="",,IF(VLOOKUP(L131,MASTER_PROPERTY_TABLE,12,FALSE)="English",mmBTU_to_GJ,1))</f>
        <v>0</v>
      </c>
      <c r="M137" s="426">
        <f>IF(M131="",,IF(VLOOKUP(M131,MASTER_PROPERTY_TABLE,12,FALSE)="English",mmBTU_to_GJ,1))</f>
        <v>0</v>
      </c>
      <c r="N137" s="426">
        <f>IF(N131="",,IF(VLOOKUP(N131,MASTER_PROPERTY_TABLE,12,FALSE)="English",mmBTU_to_GJ,1))</f>
        <v>0</v>
      </c>
      <c r="O137" s="532"/>
      <c r="P137" s="530"/>
      <c r="Q137" s="530"/>
      <c r="R137" s="531"/>
      <c r="S137" s="410"/>
      <c r="T137" s="415"/>
      <c r="U137" s="415"/>
      <c r="V137" s="416"/>
    </row>
    <row r="138" spans="1:22" ht="38.25" customHeight="1" thickTop="1" x14ac:dyDescent="0.3">
      <c r="A138" s="204" t="s">
        <v>1034</v>
      </c>
      <c r="B138" s="237" t="str">
        <f t="shared" ref="B138:N138" si="49">IF(B$131="","",B$131&amp;" ($/kg of H2)")</f>
        <v>Industrial Natural Gas ($/kg of H2)</v>
      </c>
      <c r="C138" s="237" t="str">
        <f t="shared" si="49"/>
        <v/>
      </c>
      <c r="D138" s="237" t="str">
        <f t="shared" si="49"/>
        <v/>
      </c>
      <c r="E138" s="237" t="str">
        <f t="shared" si="49"/>
        <v/>
      </c>
      <c r="F138" s="237" t="str">
        <f t="shared" si="49"/>
        <v>Industrial Electricity ($/kg of H2)</v>
      </c>
      <c r="G138" s="237" t="str">
        <f t="shared" si="49"/>
        <v/>
      </c>
      <c r="H138" s="237" t="str">
        <f t="shared" si="49"/>
        <v/>
      </c>
      <c r="I138" s="596" t="str">
        <f t="shared" si="49"/>
        <v/>
      </c>
      <c r="J138" s="602"/>
      <c r="K138" s="600" t="str">
        <f t="shared" si="49"/>
        <v/>
      </c>
      <c r="L138" s="237" t="str">
        <f t="shared" si="49"/>
        <v/>
      </c>
      <c r="M138" s="237" t="str">
        <f t="shared" si="49"/>
        <v/>
      </c>
      <c r="N138" s="237" t="str">
        <f t="shared" si="49"/>
        <v/>
      </c>
      <c r="O138" s="237"/>
      <c r="P138" s="237" t="str">
        <f>IF(P$131="","",P$131&amp;" ($/kg of H2)")</f>
        <v>Demineralized Water ($/kg of H2)</v>
      </c>
      <c r="Q138" s="237" t="str">
        <f>IF(Q$131="","",Q$131&amp;" ($/kg of H2)")</f>
        <v>Cooling Water ($/kg of H2)</v>
      </c>
      <c r="R138" s="237" t="str">
        <f>IF(R$131="","",R$131&amp;" ($/kg of H2)")</f>
        <v/>
      </c>
      <c r="S138" s="238"/>
      <c r="T138" s="237" t="str">
        <f>IF(T$131="","",T$131&amp;" ($/kg of H2)")</f>
        <v/>
      </c>
      <c r="U138" s="237" t="str">
        <f>IF(U$131="","",U$131&amp;" ($/kg of H2)")</f>
        <v/>
      </c>
      <c r="V138" s="237" t="str">
        <f>IF(V$131="","",V$131&amp;" ($/kg of H2)")</f>
        <v/>
      </c>
    </row>
    <row r="139" spans="1:22" ht="15" customHeight="1" x14ac:dyDescent="0.25">
      <c r="A139" s="205">
        <f t="shared" ref="A139:A182" si="50">IF(A65="","",A65)</f>
        <v>2037</v>
      </c>
      <c r="B139" s="207">
        <f ca="1">IF($A139="","",IF($B$131="","",IF($B$135="no",INFLATION_FACTOR*$B$133*$B$134,INFLATION_FACTOR*$B$133*$B$132*INDEX(FEEDPRICETABLE,MATCH($B$131,List_Energy_Feedstocks,0),MATCH($A139,Feedstock_Year,0)))))</f>
        <v>1.4604673739274401</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f ca="1">IF($A139="","",IF($F$131="","",IF($F$135="no",INFLATION_FACTOR*$F$133*$F$134,INFLATION_FACTOR*$F$133*$F$132*INDEX(FEEDPRICETABLE,MATCH($F$131,List_Energy_Feedstocks,0),MATCH($A139,Feedstock_Year,0)))))</f>
        <v>7.3242562555881061E-2</v>
      </c>
      <c r="G139" s="207" t="str">
        <f t="shared" ref="G139:G182" si="54">IF($A139="","",IF($G$131="","",IF($G$135="no",INFLATION_FACTOR*$G$133*$G$134,INFLATION_FACTOR*$G$133*$G$132*INDEX(FEEDPRICETABLE,MATCH($G$131,List_Energy_Feedstocks,0),MATCH($A139,Feedstock_Year,0)))))</f>
        <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1"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3.7553365687528865E-2</v>
      </c>
      <c r="Q139" s="229">
        <f ca="1">IF(OR($A139="",$Q$131=""),"",IF($Q$134="No",INFLATION_FACTOR*$Q$132*$Q$133,INFLATION_FACTOR*$Q$132*INDEX(Tbl_Other_Inputs_and_Byproducts,MATCH($Q$131,Other_Inputs_List,0),MATCH($A139,Other_Inputs_years,0))))</f>
        <v>2.6622136019508846E-4</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5">
      <c r="A140" s="205">
        <f t="shared" si="50"/>
        <v>2038</v>
      </c>
      <c r="B140" s="207">
        <f t="shared" ref="B140:B182" ca="1" si="66">IF($A140="","",IF($B$131="","",IF($B$135="no",INFLATION_FACTOR*$B$133*$B$134,INFLATION_FACTOR*$B$133*$B$132*INDEX(FEEDPRICETABLE,MATCH($B$131,List_Energy_Feedstocks,0),MATCH($A140,Feedstock_Year,0)))))</f>
        <v>1.4590442792689446</v>
      </c>
      <c r="C140" s="207" t="str">
        <f t="shared" si="51"/>
        <v/>
      </c>
      <c r="D140" s="207" t="str">
        <f t="shared" si="52"/>
        <v/>
      </c>
      <c r="E140" s="234" t="str">
        <f t="shared" si="53"/>
        <v/>
      </c>
      <c r="F140" s="206">
        <f t="shared" ref="F140:F182" ca="1" si="67">IF($A140="","",IF($F$131="","",IF($F$135="no",INFLATION_FACTOR*$F$133*$F$134,INFLATION_FACTOR*$F$133*$F$132*INDEX(FEEDPRICETABLE,MATCH($F$131,List_Energy_Feedstocks,0),MATCH($A140,Feedstock_Year,0)))))</f>
        <v>7.3258830680129783E-2</v>
      </c>
      <c r="G140" s="207" t="str">
        <f t="shared" si="54"/>
        <v/>
      </c>
      <c r="H140" s="207" t="str">
        <f t="shared" si="55"/>
        <v/>
      </c>
      <c r="I140" s="234" t="str">
        <f t="shared" si="56"/>
        <v/>
      </c>
      <c r="J140" s="601"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3.7553365687528865E-2</v>
      </c>
      <c r="Q140" s="229">
        <f t="shared" ref="Q140:Q182" ca="1" si="69">IF(OR($A140="",$Q$131=""),"",IF($Q$134="No",INFLATION_FACTOR*$Q$132*$Q$133,INFLATION_FACTOR*$Q$132*INDEX(Tbl_Other_Inputs_and_Byproducts,MATCH($Q$131,Other_Inputs_List,0),MATCH($A140,Other_Inputs_years,0))))</f>
        <v>2.6622136019508846E-4</v>
      </c>
      <c r="R140" s="229" t="str">
        <f t="shared" si="62"/>
        <v/>
      </c>
      <c r="S140" s="239"/>
      <c r="T140" s="229" t="str">
        <f t="shared" si="63"/>
        <v/>
      </c>
      <c r="U140" s="229" t="str">
        <f t="shared" si="64"/>
        <v/>
      </c>
      <c r="V140" s="229" t="str">
        <f t="shared" si="65"/>
        <v/>
      </c>
    </row>
    <row r="141" spans="1:22" ht="15" customHeight="1" x14ac:dyDescent="0.25">
      <c r="A141" s="205">
        <f t="shared" si="50"/>
        <v>2039</v>
      </c>
      <c r="B141" s="207">
        <f t="shared" ca="1" si="66"/>
        <v>1.4645842272369045</v>
      </c>
      <c r="C141" s="207" t="str">
        <f t="shared" si="51"/>
        <v/>
      </c>
      <c r="D141" s="207" t="str">
        <f t="shared" si="52"/>
        <v/>
      </c>
      <c r="E141" s="234" t="str">
        <f t="shared" si="53"/>
        <v/>
      </c>
      <c r="F141" s="206">
        <f t="shared" ca="1" si="67"/>
        <v>7.3315527891331084E-2</v>
      </c>
      <c r="G141" s="207" t="str">
        <f t="shared" si="54"/>
        <v/>
      </c>
      <c r="H141" s="207" t="str">
        <f t="shared" si="55"/>
        <v/>
      </c>
      <c r="I141" s="234" t="str">
        <f t="shared" si="56"/>
        <v/>
      </c>
      <c r="J141" s="601" t="str">
        <f t="shared" ca="1" si="57"/>
        <v/>
      </c>
      <c r="K141" s="232" t="str">
        <f t="shared" si="58"/>
        <v/>
      </c>
      <c r="L141" s="232" t="str">
        <f t="shared" si="59"/>
        <v/>
      </c>
      <c r="M141" s="207" t="str">
        <f t="shared" si="60"/>
        <v/>
      </c>
      <c r="N141" s="235" t="str">
        <f t="shared" si="61"/>
        <v/>
      </c>
      <c r="O141" s="240"/>
      <c r="P141" s="229">
        <f t="shared" ca="1" si="68"/>
        <v>3.7553365687528865E-2</v>
      </c>
      <c r="Q141" s="229">
        <f t="shared" ca="1" si="69"/>
        <v>2.6622136019508846E-4</v>
      </c>
      <c r="R141" s="229" t="str">
        <f t="shared" si="62"/>
        <v/>
      </c>
      <c r="S141" s="239"/>
      <c r="T141" s="229" t="str">
        <f t="shared" si="63"/>
        <v/>
      </c>
      <c r="U141" s="229" t="str">
        <f t="shared" si="64"/>
        <v/>
      </c>
      <c r="V141" s="229" t="str">
        <f t="shared" si="65"/>
        <v/>
      </c>
    </row>
    <row r="142" spans="1:22" ht="15" customHeight="1" x14ac:dyDescent="0.25">
      <c r="A142" s="205">
        <f t="shared" si="50"/>
        <v>2040</v>
      </c>
      <c r="B142" s="207">
        <f t="shared" ca="1" si="66"/>
        <v>1.453489872443597</v>
      </c>
      <c r="C142" s="207" t="str">
        <f t="shared" si="51"/>
        <v/>
      </c>
      <c r="D142" s="207" t="str">
        <f t="shared" si="52"/>
        <v/>
      </c>
      <c r="E142" s="234" t="str">
        <f t="shared" si="53"/>
        <v/>
      </c>
      <c r="F142" s="206">
        <f t="shared" ca="1" si="67"/>
        <v>7.3143622255735022E-2</v>
      </c>
      <c r="G142" s="207" t="str">
        <f t="shared" si="54"/>
        <v/>
      </c>
      <c r="H142" s="207" t="str">
        <f t="shared" si="55"/>
        <v/>
      </c>
      <c r="I142" s="234" t="str">
        <f t="shared" si="56"/>
        <v/>
      </c>
      <c r="J142" s="601" t="str">
        <f t="shared" ca="1" si="57"/>
        <v/>
      </c>
      <c r="K142" s="232" t="str">
        <f t="shared" si="58"/>
        <v/>
      </c>
      <c r="L142" s="232" t="str">
        <f t="shared" si="59"/>
        <v/>
      </c>
      <c r="M142" s="207" t="str">
        <f t="shared" si="60"/>
        <v/>
      </c>
      <c r="N142" s="235" t="str">
        <f t="shared" si="61"/>
        <v/>
      </c>
      <c r="O142" s="240"/>
      <c r="P142" s="229">
        <f t="shared" ca="1" si="68"/>
        <v>3.7553365687528865E-2</v>
      </c>
      <c r="Q142" s="229">
        <f t="shared" ca="1" si="69"/>
        <v>2.6622136019508846E-4</v>
      </c>
      <c r="R142" s="229" t="str">
        <f t="shared" si="62"/>
        <v/>
      </c>
      <c r="S142" s="239"/>
      <c r="T142" s="229" t="str">
        <f t="shared" si="63"/>
        <v/>
      </c>
      <c r="U142" s="229" t="str">
        <f t="shared" si="64"/>
        <v/>
      </c>
      <c r="V142" s="229" t="str">
        <f t="shared" si="65"/>
        <v/>
      </c>
    </row>
    <row r="143" spans="1:22" ht="15" customHeight="1" x14ac:dyDescent="0.25">
      <c r="A143" s="205">
        <f t="shared" si="50"/>
        <v>2041</v>
      </c>
      <c r="B143" s="207">
        <f t="shared" ca="1" si="66"/>
        <v>1.4546654510688428</v>
      </c>
      <c r="C143" s="207" t="str">
        <f t="shared" si="51"/>
        <v/>
      </c>
      <c r="D143" s="207" t="str">
        <f t="shared" si="52"/>
        <v/>
      </c>
      <c r="E143" s="234" t="str">
        <f t="shared" si="53"/>
        <v/>
      </c>
      <c r="F143" s="206">
        <f t="shared" ca="1" si="67"/>
        <v>7.2928511852833153E-2</v>
      </c>
      <c r="G143" s="207" t="str">
        <f t="shared" si="54"/>
        <v/>
      </c>
      <c r="H143" s="207" t="str">
        <f t="shared" si="55"/>
        <v/>
      </c>
      <c r="I143" s="234" t="str">
        <f t="shared" si="56"/>
        <v/>
      </c>
      <c r="J143" s="601" t="str">
        <f t="shared" ca="1" si="57"/>
        <v/>
      </c>
      <c r="K143" s="232" t="str">
        <f t="shared" si="58"/>
        <v/>
      </c>
      <c r="L143" s="232" t="str">
        <f t="shared" si="59"/>
        <v/>
      </c>
      <c r="M143" s="207" t="str">
        <f t="shared" si="60"/>
        <v/>
      </c>
      <c r="N143" s="235" t="str">
        <f t="shared" si="61"/>
        <v/>
      </c>
      <c r="O143" s="240"/>
      <c r="P143" s="229">
        <f t="shared" ca="1" si="68"/>
        <v>3.7553365687528865E-2</v>
      </c>
      <c r="Q143" s="229">
        <f t="shared" ca="1" si="69"/>
        <v>2.6622136019508846E-4</v>
      </c>
      <c r="R143" s="229" t="str">
        <f t="shared" si="62"/>
        <v/>
      </c>
      <c r="S143" s="239"/>
      <c r="T143" s="229" t="str">
        <f t="shared" si="63"/>
        <v/>
      </c>
      <c r="U143" s="229" t="str">
        <f t="shared" si="64"/>
        <v/>
      </c>
      <c r="V143" s="229" t="str">
        <f t="shared" si="65"/>
        <v/>
      </c>
    </row>
    <row r="144" spans="1:22" ht="15" customHeight="1" x14ac:dyDescent="0.25">
      <c r="A144" s="205">
        <f t="shared" si="50"/>
        <v>2042</v>
      </c>
      <c r="B144" s="207">
        <f t="shared" ca="1" si="66"/>
        <v>1.4686716727008344</v>
      </c>
      <c r="C144" s="207" t="str">
        <f t="shared" si="51"/>
        <v/>
      </c>
      <c r="D144" s="207" t="str">
        <f t="shared" si="52"/>
        <v/>
      </c>
      <c r="E144" s="234" t="str">
        <f t="shared" si="53"/>
        <v/>
      </c>
      <c r="F144" s="206">
        <f t="shared" ca="1" si="67"/>
        <v>7.3013097736505883E-2</v>
      </c>
      <c r="G144" s="207" t="str">
        <f t="shared" si="54"/>
        <v/>
      </c>
      <c r="H144" s="207" t="str">
        <f t="shared" si="55"/>
        <v/>
      </c>
      <c r="I144" s="234" t="str">
        <f t="shared" si="56"/>
        <v/>
      </c>
      <c r="J144" s="601" t="str">
        <f t="shared" ca="1" si="57"/>
        <v/>
      </c>
      <c r="K144" s="232" t="str">
        <f t="shared" si="58"/>
        <v/>
      </c>
      <c r="L144" s="232" t="str">
        <f t="shared" si="59"/>
        <v/>
      </c>
      <c r="M144" s="207" t="str">
        <f t="shared" si="60"/>
        <v/>
      </c>
      <c r="N144" s="235" t="str">
        <f t="shared" si="61"/>
        <v/>
      </c>
      <c r="O144" s="240"/>
      <c r="P144" s="229">
        <f t="shared" ca="1" si="68"/>
        <v>3.7553365687528865E-2</v>
      </c>
      <c r="Q144" s="229">
        <f t="shared" ca="1" si="69"/>
        <v>2.6622136019508846E-4</v>
      </c>
      <c r="R144" s="229" t="str">
        <f t="shared" si="62"/>
        <v/>
      </c>
      <c r="S144" s="239"/>
      <c r="T144" s="229" t="str">
        <f t="shared" si="63"/>
        <v/>
      </c>
      <c r="U144" s="229" t="str">
        <f t="shared" si="64"/>
        <v/>
      </c>
      <c r="V144" s="229" t="str">
        <f t="shared" si="65"/>
        <v/>
      </c>
    </row>
    <row r="145" spans="1:22" ht="15" customHeight="1" x14ac:dyDescent="0.25">
      <c r="A145" s="205">
        <f t="shared" si="50"/>
        <v>2043</v>
      </c>
      <c r="B145" s="207">
        <f t="shared" ca="1" si="66"/>
        <v>1.4901099920955576</v>
      </c>
      <c r="C145" s="207" t="str">
        <f t="shared" si="51"/>
        <v/>
      </c>
      <c r="D145" s="207" t="str">
        <f t="shared" si="52"/>
        <v/>
      </c>
      <c r="E145" s="234" t="str">
        <f t="shared" si="53"/>
        <v/>
      </c>
      <c r="F145" s="206">
        <f t="shared" ca="1" si="67"/>
        <v>7.3235917647874377E-2</v>
      </c>
      <c r="G145" s="207" t="str">
        <f t="shared" si="54"/>
        <v/>
      </c>
      <c r="H145" s="207" t="str">
        <f t="shared" si="55"/>
        <v/>
      </c>
      <c r="I145" s="234" t="str">
        <f t="shared" si="56"/>
        <v/>
      </c>
      <c r="J145" s="601" t="str">
        <f t="shared" ca="1" si="57"/>
        <v/>
      </c>
      <c r="K145" s="232" t="str">
        <f t="shared" si="58"/>
        <v/>
      </c>
      <c r="L145" s="232" t="str">
        <f t="shared" si="59"/>
        <v/>
      </c>
      <c r="M145" s="207" t="str">
        <f t="shared" si="60"/>
        <v/>
      </c>
      <c r="N145" s="235" t="str">
        <f t="shared" si="61"/>
        <v/>
      </c>
      <c r="O145" s="240"/>
      <c r="P145" s="229">
        <f t="shared" ca="1" si="68"/>
        <v>3.7553365687528865E-2</v>
      </c>
      <c r="Q145" s="229">
        <f t="shared" ca="1" si="69"/>
        <v>2.6622136019508846E-4</v>
      </c>
      <c r="R145" s="229" t="str">
        <f t="shared" si="62"/>
        <v/>
      </c>
      <c r="S145" s="239"/>
      <c r="T145" s="229" t="str">
        <f t="shared" si="63"/>
        <v/>
      </c>
      <c r="U145" s="229" t="str">
        <f t="shared" si="64"/>
        <v/>
      </c>
      <c r="V145" s="229" t="str">
        <f t="shared" si="65"/>
        <v/>
      </c>
    </row>
    <row r="146" spans="1:22" ht="15" customHeight="1" x14ac:dyDescent="0.25">
      <c r="A146" s="205">
        <f t="shared" si="50"/>
        <v>2044</v>
      </c>
      <c r="B146" s="207">
        <f t="shared" ca="1" si="66"/>
        <v>1.5048036221169203</v>
      </c>
      <c r="C146" s="207" t="str">
        <f t="shared" si="51"/>
        <v/>
      </c>
      <c r="D146" s="207" t="str">
        <f t="shared" si="52"/>
        <v/>
      </c>
      <c r="E146" s="234" t="str">
        <f t="shared" si="53"/>
        <v/>
      </c>
      <c r="F146" s="206">
        <f t="shared" ca="1" si="67"/>
        <v>7.3511861443824919E-2</v>
      </c>
      <c r="G146" s="207" t="str">
        <f t="shared" si="54"/>
        <v/>
      </c>
      <c r="H146" s="207" t="str">
        <f t="shared" si="55"/>
        <v/>
      </c>
      <c r="I146" s="234" t="str">
        <f t="shared" si="56"/>
        <v/>
      </c>
      <c r="J146" s="601" t="str">
        <f t="shared" ca="1" si="57"/>
        <v/>
      </c>
      <c r="K146" s="232" t="str">
        <f t="shared" si="58"/>
        <v/>
      </c>
      <c r="L146" s="232" t="str">
        <f t="shared" si="59"/>
        <v/>
      </c>
      <c r="M146" s="207" t="str">
        <f t="shared" si="60"/>
        <v/>
      </c>
      <c r="N146" s="235" t="str">
        <f t="shared" si="61"/>
        <v/>
      </c>
      <c r="O146" s="240"/>
      <c r="P146" s="229">
        <f t="shared" ca="1" si="68"/>
        <v>3.7553365687528865E-2</v>
      </c>
      <c r="Q146" s="229">
        <f t="shared" ca="1" si="69"/>
        <v>2.6622136019508846E-4</v>
      </c>
      <c r="R146" s="229" t="str">
        <f t="shared" si="62"/>
        <v/>
      </c>
      <c r="S146" s="239"/>
      <c r="T146" s="229" t="str">
        <f t="shared" si="63"/>
        <v/>
      </c>
      <c r="U146" s="229" t="str">
        <f t="shared" si="64"/>
        <v/>
      </c>
      <c r="V146" s="229" t="str">
        <f t="shared" si="65"/>
        <v/>
      </c>
    </row>
    <row r="147" spans="1:22" ht="15" customHeight="1" x14ac:dyDescent="0.25">
      <c r="A147" s="205">
        <f t="shared" si="50"/>
        <v>2045</v>
      </c>
      <c r="B147" s="207">
        <f t="shared" ca="1" si="66"/>
        <v>1.5241262920908085</v>
      </c>
      <c r="C147" s="207" t="str">
        <f t="shared" si="51"/>
        <v/>
      </c>
      <c r="D147" s="207" t="str">
        <f t="shared" si="52"/>
        <v/>
      </c>
      <c r="E147" s="234" t="str">
        <f t="shared" si="53"/>
        <v/>
      </c>
      <c r="F147" s="206">
        <f t="shared" ca="1" si="67"/>
        <v>7.3780398064974176E-2</v>
      </c>
      <c r="G147" s="207" t="str">
        <f t="shared" si="54"/>
        <v/>
      </c>
      <c r="H147" s="207" t="str">
        <f t="shared" si="55"/>
        <v/>
      </c>
      <c r="I147" s="234" t="str">
        <f t="shared" si="56"/>
        <v/>
      </c>
      <c r="J147" s="601" t="str">
        <f t="shared" ca="1" si="57"/>
        <v/>
      </c>
      <c r="K147" s="232" t="str">
        <f t="shared" si="58"/>
        <v/>
      </c>
      <c r="L147" s="232" t="str">
        <f t="shared" si="59"/>
        <v/>
      </c>
      <c r="M147" s="207" t="str">
        <f t="shared" si="60"/>
        <v/>
      </c>
      <c r="N147" s="235" t="str">
        <f t="shared" si="61"/>
        <v/>
      </c>
      <c r="O147" s="240"/>
      <c r="P147" s="229">
        <f t="shared" ca="1" si="68"/>
        <v>3.7553365687528865E-2</v>
      </c>
      <c r="Q147" s="229">
        <f t="shared" ca="1" si="69"/>
        <v>2.6622136019508846E-4</v>
      </c>
      <c r="R147" s="229" t="str">
        <f t="shared" si="62"/>
        <v/>
      </c>
      <c r="S147" s="239"/>
      <c r="T147" s="229" t="str">
        <f t="shared" si="63"/>
        <v/>
      </c>
      <c r="U147" s="229" t="str">
        <f t="shared" si="64"/>
        <v/>
      </c>
      <c r="V147" s="229" t="str">
        <f t="shared" si="65"/>
        <v/>
      </c>
    </row>
    <row r="148" spans="1:22" ht="15" customHeight="1" x14ac:dyDescent="0.25">
      <c r="A148" s="205">
        <f t="shared" si="50"/>
        <v>2046</v>
      </c>
      <c r="B148" s="207">
        <f t="shared" ca="1" si="66"/>
        <v>1.5388978529028379</v>
      </c>
      <c r="C148" s="207" t="str">
        <f t="shared" si="51"/>
        <v/>
      </c>
      <c r="D148" s="207" t="str">
        <f t="shared" si="52"/>
        <v/>
      </c>
      <c r="E148" s="234" t="str">
        <f t="shared" si="53"/>
        <v/>
      </c>
      <c r="F148" s="206">
        <f t="shared" ca="1" si="67"/>
        <v>7.4053421446369963E-2</v>
      </c>
      <c r="G148" s="207" t="str">
        <f t="shared" si="54"/>
        <v/>
      </c>
      <c r="H148" s="207" t="str">
        <f t="shared" si="55"/>
        <v/>
      </c>
      <c r="I148" s="234" t="str">
        <f t="shared" si="56"/>
        <v/>
      </c>
      <c r="J148" s="601" t="str">
        <f t="shared" ca="1" si="57"/>
        <v/>
      </c>
      <c r="K148" s="232" t="str">
        <f t="shared" si="58"/>
        <v/>
      </c>
      <c r="L148" s="232" t="str">
        <f t="shared" si="59"/>
        <v/>
      </c>
      <c r="M148" s="207" t="str">
        <f t="shared" si="60"/>
        <v/>
      </c>
      <c r="N148" s="235" t="str">
        <f t="shared" si="61"/>
        <v/>
      </c>
      <c r="O148" s="240"/>
      <c r="P148" s="229">
        <f t="shared" ca="1" si="68"/>
        <v>3.7553365687528865E-2</v>
      </c>
      <c r="Q148" s="229">
        <f t="shared" ca="1" si="69"/>
        <v>2.6622136019508846E-4</v>
      </c>
      <c r="R148" s="229" t="str">
        <f t="shared" si="62"/>
        <v/>
      </c>
      <c r="S148" s="239"/>
      <c r="T148" s="229" t="str">
        <f t="shared" si="63"/>
        <v/>
      </c>
      <c r="U148" s="229" t="str">
        <f t="shared" si="64"/>
        <v/>
      </c>
      <c r="V148" s="229" t="str">
        <f t="shared" si="65"/>
        <v/>
      </c>
    </row>
    <row r="149" spans="1:22" ht="15" customHeight="1" x14ac:dyDescent="0.25">
      <c r="A149" s="205">
        <f t="shared" si="50"/>
        <v>2047</v>
      </c>
      <c r="B149" s="207">
        <f t="shared" ca="1" si="66"/>
        <v>1.5551001054001254</v>
      </c>
      <c r="C149" s="207" t="str">
        <f t="shared" si="51"/>
        <v/>
      </c>
      <c r="D149" s="207" t="str">
        <f t="shared" si="52"/>
        <v/>
      </c>
      <c r="E149" s="234" t="str">
        <f t="shared" si="53"/>
        <v/>
      </c>
      <c r="F149" s="206">
        <f t="shared" ca="1" si="67"/>
        <v>7.4298424286355191E-2</v>
      </c>
      <c r="G149" s="207" t="str">
        <f t="shared" si="54"/>
        <v/>
      </c>
      <c r="H149" s="207" t="str">
        <f t="shared" si="55"/>
        <v/>
      </c>
      <c r="I149" s="234" t="str">
        <f t="shared" si="56"/>
        <v/>
      </c>
      <c r="J149" s="601" t="str">
        <f t="shared" ca="1" si="57"/>
        <v/>
      </c>
      <c r="K149" s="232" t="str">
        <f t="shared" si="58"/>
        <v/>
      </c>
      <c r="L149" s="232" t="str">
        <f t="shared" si="59"/>
        <v/>
      </c>
      <c r="M149" s="207" t="str">
        <f t="shared" si="60"/>
        <v/>
      </c>
      <c r="N149" s="235" t="str">
        <f t="shared" si="61"/>
        <v/>
      </c>
      <c r="O149" s="240"/>
      <c r="P149" s="229">
        <f t="shared" ca="1" si="68"/>
        <v>3.7553365687528865E-2</v>
      </c>
      <c r="Q149" s="229">
        <f t="shared" ca="1" si="69"/>
        <v>2.6622136019508846E-4</v>
      </c>
      <c r="R149" s="229" t="str">
        <f t="shared" si="62"/>
        <v/>
      </c>
      <c r="S149" s="239"/>
      <c r="T149" s="229" t="str">
        <f t="shared" si="63"/>
        <v/>
      </c>
      <c r="U149" s="229" t="str">
        <f t="shared" si="64"/>
        <v/>
      </c>
      <c r="V149" s="229" t="str">
        <f t="shared" si="65"/>
        <v/>
      </c>
    </row>
    <row r="150" spans="1:22" ht="15" customHeight="1" x14ac:dyDescent="0.25">
      <c r="A150" s="205">
        <f t="shared" si="50"/>
        <v>2048</v>
      </c>
      <c r="B150" s="207">
        <f t="shared" ca="1" si="66"/>
        <v>1.5836043948806748</v>
      </c>
      <c r="C150" s="207" t="str">
        <f t="shared" si="51"/>
        <v/>
      </c>
      <c r="D150" s="207" t="str">
        <f t="shared" si="52"/>
        <v/>
      </c>
      <c r="E150" s="234" t="str">
        <f t="shared" si="53"/>
        <v/>
      </c>
      <c r="F150" s="206">
        <f t="shared" ca="1" si="67"/>
        <v>7.457401750390652E-2</v>
      </c>
      <c r="G150" s="207" t="str">
        <f t="shared" si="54"/>
        <v/>
      </c>
      <c r="H150" s="207" t="str">
        <f t="shared" si="55"/>
        <v/>
      </c>
      <c r="I150" s="234" t="str">
        <f t="shared" si="56"/>
        <v/>
      </c>
      <c r="J150" s="601" t="str">
        <f t="shared" ca="1" si="57"/>
        <v/>
      </c>
      <c r="K150" s="232" t="str">
        <f t="shared" si="58"/>
        <v/>
      </c>
      <c r="L150" s="232" t="str">
        <f t="shared" si="59"/>
        <v/>
      </c>
      <c r="M150" s="207" t="str">
        <f t="shared" si="60"/>
        <v/>
      </c>
      <c r="N150" s="235" t="str">
        <f t="shared" si="61"/>
        <v/>
      </c>
      <c r="O150" s="240"/>
      <c r="P150" s="229">
        <f t="shared" ca="1" si="68"/>
        <v>3.7553365687528865E-2</v>
      </c>
      <c r="Q150" s="229">
        <f t="shared" ca="1" si="69"/>
        <v>2.6622136019508846E-4</v>
      </c>
      <c r="R150" s="229" t="str">
        <f t="shared" si="62"/>
        <v/>
      </c>
      <c r="S150" s="239"/>
      <c r="T150" s="229" t="str">
        <f t="shared" si="63"/>
        <v/>
      </c>
      <c r="U150" s="229" t="str">
        <f t="shared" si="64"/>
        <v/>
      </c>
      <c r="V150" s="229" t="str">
        <f t="shared" si="65"/>
        <v/>
      </c>
    </row>
    <row r="151" spans="1:22" ht="15" customHeight="1" x14ac:dyDescent="0.25">
      <c r="A151" s="205">
        <f t="shared" si="50"/>
        <v>2049</v>
      </c>
      <c r="B151" s="207">
        <f t="shared" ca="1" si="66"/>
        <v>1.5928788941661494</v>
      </c>
      <c r="C151" s="207" t="str">
        <f t="shared" si="51"/>
        <v/>
      </c>
      <c r="D151" s="207" t="str">
        <f t="shared" si="52"/>
        <v/>
      </c>
      <c r="E151" s="234" t="str">
        <f t="shared" si="53"/>
        <v/>
      </c>
      <c r="F151" s="206">
        <f t="shared" ca="1" si="67"/>
        <v>7.4812790340596028E-2</v>
      </c>
      <c r="G151" s="207" t="str">
        <f t="shared" si="54"/>
        <v/>
      </c>
      <c r="H151" s="207" t="str">
        <f t="shared" si="55"/>
        <v/>
      </c>
      <c r="I151" s="234" t="str">
        <f t="shared" si="56"/>
        <v/>
      </c>
      <c r="J151" s="601" t="str">
        <f t="shared" ca="1" si="57"/>
        <v/>
      </c>
      <c r="K151" s="232" t="str">
        <f t="shared" si="58"/>
        <v/>
      </c>
      <c r="L151" s="232" t="str">
        <f t="shared" si="59"/>
        <v/>
      </c>
      <c r="M151" s="207" t="str">
        <f t="shared" si="60"/>
        <v/>
      </c>
      <c r="N151" s="235" t="str">
        <f t="shared" si="61"/>
        <v/>
      </c>
      <c r="O151" s="240"/>
      <c r="P151" s="229">
        <f t="shared" ca="1" si="68"/>
        <v>3.7553365687528865E-2</v>
      </c>
      <c r="Q151" s="229">
        <f t="shared" ca="1" si="69"/>
        <v>2.6622136019508846E-4</v>
      </c>
      <c r="R151" s="229" t="str">
        <f t="shared" si="62"/>
        <v/>
      </c>
      <c r="S151" s="239"/>
      <c r="T151" s="229" t="str">
        <f t="shared" si="63"/>
        <v/>
      </c>
      <c r="U151" s="229" t="str">
        <f t="shared" si="64"/>
        <v/>
      </c>
      <c r="V151" s="229" t="str">
        <f t="shared" si="65"/>
        <v/>
      </c>
    </row>
    <row r="152" spans="1:22" ht="15" customHeight="1" x14ac:dyDescent="0.25">
      <c r="A152" s="205">
        <f t="shared" si="50"/>
        <v>2050</v>
      </c>
      <c r="B152" s="207">
        <f t="shared" ca="1" si="66"/>
        <v>1.6130467946337779</v>
      </c>
      <c r="C152" s="207" t="str">
        <f t="shared" si="51"/>
        <v/>
      </c>
      <c r="D152" s="207" t="str">
        <f t="shared" si="52"/>
        <v/>
      </c>
      <c r="E152" s="234" t="str">
        <f t="shared" si="53"/>
        <v/>
      </c>
      <c r="F152" s="206">
        <f t="shared" ca="1" si="67"/>
        <v>7.5044275006161038E-2</v>
      </c>
      <c r="G152" s="207" t="str">
        <f t="shared" si="54"/>
        <v/>
      </c>
      <c r="H152" s="207" t="str">
        <f t="shared" si="55"/>
        <v/>
      </c>
      <c r="I152" s="234" t="str">
        <f t="shared" si="56"/>
        <v/>
      </c>
      <c r="J152" s="601" t="str">
        <f t="shared" ca="1" si="57"/>
        <v/>
      </c>
      <c r="K152" s="232" t="str">
        <f t="shared" si="58"/>
        <v/>
      </c>
      <c r="L152" s="232" t="str">
        <f t="shared" si="59"/>
        <v/>
      </c>
      <c r="M152" s="207" t="str">
        <f t="shared" si="60"/>
        <v/>
      </c>
      <c r="N152" s="235" t="str">
        <f t="shared" si="61"/>
        <v/>
      </c>
      <c r="O152" s="240"/>
      <c r="P152" s="229">
        <f t="shared" ca="1" si="68"/>
        <v>3.7553365687528865E-2</v>
      </c>
      <c r="Q152" s="229">
        <f t="shared" ca="1" si="69"/>
        <v>2.6622136019508846E-4</v>
      </c>
      <c r="R152" s="229" t="str">
        <f t="shared" si="62"/>
        <v/>
      </c>
      <c r="S152" s="239"/>
      <c r="T152" s="229" t="str">
        <f t="shared" si="63"/>
        <v/>
      </c>
      <c r="U152" s="229" t="str">
        <f t="shared" si="64"/>
        <v/>
      </c>
      <c r="V152" s="229" t="str">
        <f t="shared" si="65"/>
        <v/>
      </c>
    </row>
    <row r="153" spans="1:22" ht="15" customHeight="1" x14ac:dyDescent="0.25">
      <c r="A153" s="205">
        <f t="shared" si="50"/>
        <v>2051</v>
      </c>
      <c r="B153" s="207">
        <f t="shared" ca="1" si="66"/>
        <v>1.6220142723615003</v>
      </c>
      <c r="C153" s="207" t="str">
        <f t="shared" si="51"/>
        <v/>
      </c>
      <c r="D153" s="207" t="str">
        <f t="shared" si="52"/>
        <v/>
      </c>
      <c r="E153" s="234" t="str">
        <f t="shared" si="53"/>
        <v/>
      </c>
      <c r="F153" s="206">
        <f t="shared" ca="1" si="67"/>
        <v>7.5112336816988631E-2</v>
      </c>
      <c r="G153" s="207" t="str">
        <f t="shared" si="54"/>
        <v/>
      </c>
      <c r="H153" s="207" t="str">
        <f t="shared" si="55"/>
        <v/>
      </c>
      <c r="I153" s="234" t="str">
        <f t="shared" si="56"/>
        <v/>
      </c>
      <c r="J153" s="601" t="str">
        <f t="shared" ca="1" si="57"/>
        <v/>
      </c>
      <c r="K153" s="232" t="str">
        <f t="shared" si="58"/>
        <v/>
      </c>
      <c r="L153" s="232" t="str">
        <f t="shared" si="59"/>
        <v/>
      </c>
      <c r="M153" s="207" t="str">
        <f t="shared" si="60"/>
        <v/>
      </c>
      <c r="N153" s="235" t="str">
        <f t="shared" si="61"/>
        <v/>
      </c>
      <c r="O153" s="240"/>
      <c r="P153" s="229">
        <f t="shared" ca="1" si="68"/>
        <v>3.7553365687528865E-2</v>
      </c>
      <c r="Q153" s="229">
        <f t="shared" ca="1" si="69"/>
        <v>2.6622136019508846E-4</v>
      </c>
      <c r="R153" s="229" t="str">
        <f t="shared" si="62"/>
        <v/>
      </c>
      <c r="S153" s="239"/>
      <c r="T153" s="229" t="str">
        <f t="shared" si="63"/>
        <v/>
      </c>
      <c r="U153" s="229" t="str">
        <f t="shared" si="64"/>
        <v/>
      </c>
      <c r="V153" s="229" t="str">
        <f t="shared" si="65"/>
        <v/>
      </c>
    </row>
    <row r="154" spans="1:22" ht="15" customHeight="1" x14ac:dyDescent="0.25">
      <c r="A154" s="205">
        <f t="shared" si="50"/>
        <v>2052</v>
      </c>
      <c r="B154" s="207">
        <f t="shared" ca="1" si="66"/>
        <v>1.6310316033588643</v>
      </c>
      <c r="C154" s="207" t="str">
        <f t="shared" si="51"/>
        <v/>
      </c>
      <c r="D154" s="207" t="str">
        <f t="shared" si="52"/>
        <v/>
      </c>
      <c r="E154" s="234" t="str">
        <f t="shared" si="53"/>
        <v/>
      </c>
      <c r="F154" s="206">
        <f t="shared" ca="1" si="67"/>
        <v>7.5180460356843407E-2</v>
      </c>
      <c r="G154" s="207" t="str">
        <f t="shared" si="54"/>
        <v/>
      </c>
      <c r="H154" s="207" t="str">
        <f t="shared" si="55"/>
        <v/>
      </c>
      <c r="I154" s="234" t="str">
        <f t="shared" si="56"/>
        <v/>
      </c>
      <c r="J154" s="601" t="str">
        <f t="shared" ca="1" si="57"/>
        <v/>
      </c>
      <c r="K154" s="232" t="str">
        <f t="shared" si="58"/>
        <v/>
      </c>
      <c r="L154" s="232" t="str">
        <f t="shared" si="59"/>
        <v/>
      </c>
      <c r="M154" s="207" t="str">
        <f t="shared" si="60"/>
        <v/>
      </c>
      <c r="N154" s="235" t="str">
        <f t="shared" si="61"/>
        <v/>
      </c>
      <c r="O154" s="240"/>
      <c r="P154" s="229">
        <f t="shared" ca="1" si="68"/>
        <v>3.7553365687528865E-2</v>
      </c>
      <c r="Q154" s="229">
        <f t="shared" ca="1" si="69"/>
        <v>2.6622136019508846E-4</v>
      </c>
      <c r="R154" s="229" t="str">
        <f t="shared" si="62"/>
        <v/>
      </c>
      <c r="S154" s="239"/>
      <c r="T154" s="229" t="str">
        <f t="shared" si="63"/>
        <v/>
      </c>
      <c r="U154" s="229" t="str">
        <f t="shared" si="64"/>
        <v/>
      </c>
      <c r="V154" s="229" t="str">
        <f t="shared" si="65"/>
        <v/>
      </c>
    </row>
    <row r="155" spans="1:22" ht="15" customHeight="1" x14ac:dyDescent="0.25">
      <c r="A155" s="205">
        <f t="shared" si="50"/>
        <v>2053</v>
      </c>
      <c r="B155" s="207">
        <f t="shared" ca="1" si="66"/>
        <v>1.6400990647772127</v>
      </c>
      <c r="C155" s="207" t="str">
        <f t="shared" si="51"/>
        <v/>
      </c>
      <c r="D155" s="207" t="str">
        <f t="shared" si="52"/>
        <v/>
      </c>
      <c r="E155" s="234" t="str">
        <f t="shared" si="53"/>
        <v/>
      </c>
      <c r="F155" s="206">
        <f t="shared" ca="1" si="67"/>
        <v>7.5248645681710871E-2</v>
      </c>
      <c r="G155" s="207" t="str">
        <f t="shared" si="54"/>
        <v/>
      </c>
      <c r="H155" s="207" t="str">
        <f t="shared" si="55"/>
        <v/>
      </c>
      <c r="I155" s="234" t="str">
        <f t="shared" si="56"/>
        <v/>
      </c>
      <c r="J155" s="601" t="str">
        <f t="shared" ca="1" si="57"/>
        <v/>
      </c>
      <c r="K155" s="232" t="str">
        <f t="shared" si="58"/>
        <v/>
      </c>
      <c r="L155" s="232" t="str">
        <f t="shared" si="59"/>
        <v/>
      </c>
      <c r="M155" s="207" t="str">
        <f t="shared" si="60"/>
        <v/>
      </c>
      <c r="N155" s="235" t="str">
        <f t="shared" si="61"/>
        <v/>
      </c>
      <c r="O155" s="240"/>
      <c r="P155" s="229">
        <f t="shared" ca="1" si="68"/>
        <v>3.7553365687528865E-2</v>
      </c>
      <c r="Q155" s="229">
        <f t="shared" ca="1" si="69"/>
        <v>2.6622136019508846E-4</v>
      </c>
      <c r="R155" s="229" t="str">
        <f t="shared" si="62"/>
        <v/>
      </c>
      <c r="S155" s="239"/>
      <c r="T155" s="229" t="str">
        <f t="shared" si="63"/>
        <v/>
      </c>
      <c r="U155" s="229" t="str">
        <f t="shared" si="64"/>
        <v/>
      </c>
      <c r="V155" s="229" t="str">
        <f t="shared" si="65"/>
        <v/>
      </c>
    </row>
    <row r="156" spans="1:22" ht="15" customHeight="1" x14ac:dyDescent="0.25">
      <c r="A156" s="205">
        <f t="shared" si="50"/>
        <v>2054</v>
      </c>
      <c r="B156" s="207">
        <f t="shared" ca="1" si="66"/>
        <v>1.649216935308667</v>
      </c>
      <c r="C156" s="207" t="str">
        <f t="shared" si="51"/>
        <v/>
      </c>
      <c r="D156" s="207" t="str">
        <f t="shared" si="52"/>
        <v/>
      </c>
      <c r="E156" s="234" t="str">
        <f t="shared" si="53"/>
        <v/>
      </c>
      <c r="F156" s="206">
        <f t="shared" ca="1" si="67"/>
        <v>7.531689284762727E-2</v>
      </c>
      <c r="G156" s="207" t="str">
        <f t="shared" si="54"/>
        <v/>
      </c>
      <c r="H156" s="207" t="str">
        <f t="shared" si="55"/>
        <v/>
      </c>
      <c r="I156" s="234" t="str">
        <f t="shared" si="56"/>
        <v/>
      </c>
      <c r="J156" s="601" t="str">
        <f t="shared" ca="1" si="57"/>
        <v/>
      </c>
      <c r="K156" s="232" t="str">
        <f t="shared" si="58"/>
        <v/>
      </c>
      <c r="L156" s="232" t="str">
        <f t="shared" si="59"/>
        <v/>
      </c>
      <c r="M156" s="207" t="str">
        <f t="shared" si="60"/>
        <v/>
      </c>
      <c r="N156" s="235" t="str">
        <f t="shared" si="61"/>
        <v/>
      </c>
      <c r="O156" s="240"/>
      <c r="P156" s="229">
        <f t="shared" ca="1" si="68"/>
        <v>3.7553365687528865E-2</v>
      </c>
      <c r="Q156" s="229">
        <f t="shared" ca="1" si="69"/>
        <v>2.6622136019508846E-4</v>
      </c>
      <c r="R156" s="229" t="str">
        <f t="shared" si="62"/>
        <v/>
      </c>
      <c r="S156" s="239"/>
      <c r="T156" s="229" t="str">
        <f t="shared" si="63"/>
        <v/>
      </c>
      <c r="U156" s="229" t="str">
        <f t="shared" si="64"/>
        <v/>
      </c>
      <c r="V156" s="229" t="str">
        <f t="shared" si="65"/>
        <v/>
      </c>
    </row>
    <row r="157" spans="1:22" ht="15" customHeight="1" x14ac:dyDescent="0.25">
      <c r="A157" s="205">
        <f t="shared" si="50"/>
        <v>2055</v>
      </c>
      <c r="B157" s="207">
        <f t="shared" ca="1" si="66"/>
        <v>1.6583854951946937</v>
      </c>
      <c r="C157" s="207" t="str">
        <f t="shared" si="51"/>
        <v/>
      </c>
      <c r="D157" s="207" t="str">
        <f t="shared" si="52"/>
        <v/>
      </c>
      <c r="E157" s="234" t="str">
        <f t="shared" si="53"/>
        <v/>
      </c>
      <c r="F157" s="206">
        <f t="shared" ca="1" si="67"/>
        <v>7.5385201910679656E-2</v>
      </c>
      <c r="G157" s="207" t="str">
        <f t="shared" si="54"/>
        <v/>
      </c>
      <c r="H157" s="207" t="str">
        <f t="shared" si="55"/>
        <v/>
      </c>
      <c r="I157" s="234" t="str">
        <f t="shared" si="56"/>
        <v/>
      </c>
      <c r="J157" s="601" t="str">
        <f t="shared" ca="1" si="57"/>
        <v/>
      </c>
      <c r="K157" s="232" t="str">
        <f t="shared" si="58"/>
        <v/>
      </c>
      <c r="L157" s="232" t="str">
        <f t="shared" si="59"/>
        <v/>
      </c>
      <c r="M157" s="207" t="str">
        <f t="shared" si="60"/>
        <v/>
      </c>
      <c r="N157" s="235" t="str">
        <f t="shared" si="61"/>
        <v/>
      </c>
      <c r="O157" s="240"/>
      <c r="P157" s="229">
        <f t="shared" ca="1" si="68"/>
        <v>3.7553365687528865E-2</v>
      </c>
      <c r="Q157" s="229">
        <f t="shared" ca="1" si="69"/>
        <v>2.6622136019508846E-4</v>
      </c>
      <c r="R157" s="229" t="str">
        <f t="shared" si="62"/>
        <v/>
      </c>
      <c r="S157" s="239"/>
      <c r="T157" s="229" t="str">
        <f t="shared" si="63"/>
        <v/>
      </c>
      <c r="U157" s="229" t="str">
        <f t="shared" si="64"/>
        <v/>
      </c>
      <c r="V157" s="229" t="str">
        <f t="shared" si="65"/>
        <v/>
      </c>
    </row>
    <row r="158" spans="1:22" ht="15" customHeight="1" x14ac:dyDescent="0.25">
      <c r="A158" s="205">
        <f t="shared" si="50"/>
        <v>2056</v>
      </c>
      <c r="B158" s="207">
        <f t="shared" ca="1" si="66"/>
        <v>1.6672868389143141</v>
      </c>
      <c r="C158" s="207" t="str">
        <f t="shared" si="51"/>
        <v/>
      </c>
      <c r="D158" s="207" t="str">
        <f t="shared" si="52"/>
        <v/>
      </c>
      <c r="E158" s="234" t="str">
        <f t="shared" si="53"/>
        <v/>
      </c>
      <c r="F158" s="206">
        <f t="shared" ca="1" si="67"/>
        <v>7.5460263551187928E-2</v>
      </c>
      <c r="G158" s="207" t="str">
        <f t="shared" si="54"/>
        <v/>
      </c>
      <c r="H158" s="207" t="str">
        <f t="shared" si="55"/>
        <v/>
      </c>
      <c r="I158" s="234" t="str">
        <f t="shared" si="56"/>
        <v/>
      </c>
      <c r="J158" s="601" t="str">
        <f t="shared" ca="1" si="57"/>
        <v/>
      </c>
      <c r="K158" s="232" t="str">
        <f t="shared" si="58"/>
        <v/>
      </c>
      <c r="L158" s="232" t="str">
        <f t="shared" si="59"/>
        <v/>
      </c>
      <c r="M158" s="207" t="str">
        <f t="shared" si="60"/>
        <v/>
      </c>
      <c r="N158" s="235" t="str">
        <f t="shared" si="61"/>
        <v/>
      </c>
      <c r="O158" s="240"/>
      <c r="P158" s="229">
        <f t="shared" ca="1" si="68"/>
        <v>3.7553365687528865E-2</v>
      </c>
      <c r="Q158" s="229">
        <f t="shared" ca="1" si="69"/>
        <v>2.6622136019508846E-4</v>
      </c>
      <c r="R158" s="229" t="str">
        <f t="shared" si="62"/>
        <v/>
      </c>
      <c r="S158" s="239"/>
      <c r="T158" s="229" t="str">
        <f t="shared" si="63"/>
        <v/>
      </c>
      <c r="U158" s="229" t="str">
        <f t="shared" si="64"/>
        <v/>
      </c>
      <c r="V158" s="229" t="str">
        <f t="shared" si="65"/>
        <v/>
      </c>
    </row>
    <row r="159" spans="1:22" ht="15" customHeight="1" x14ac:dyDescent="0.25">
      <c r="A159" s="205">
        <f t="shared" si="50"/>
        <v>2057</v>
      </c>
      <c r="B159" s="207">
        <f t="shared" ca="1" si="66"/>
        <v>1.6762359603793646</v>
      </c>
      <c r="C159" s="207" t="str">
        <f t="shared" si="51"/>
        <v/>
      </c>
      <c r="D159" s="207" t="str">
        <f t="shared" si="52"/>
        <v/>
      </c>
      <c r="E159" s="234" t="str">
        <f t="shared" si="53"/>
        <v/>
      </c>
      <c r="F159" s="206">
        <f t="shared" ca="1" si="67"/>
        <v>7.5535399931164066E-2</v>
      </c>
      <c r="G159" s="207" t="str">
        <f t="shared" si="54"/>
        <v/>
      </c>
      <c r="H159" s="207" t="str">
        <f t="shared" si="55"/>
        <v/>
      </c>
      <c r="I159" s="234" t="str">
        <f t="shared" si="56"/>
        <v/>
      </c>
      <c r="J159" s="601" t="str">
        <f t="shared" ca="1" si="57"/>
        <v/>
      </c>
      <c r="K159" s="232" t="str">
        <f t="shared" si="58"/>
        <v/>
      </c>
      <c r="L159" s="232" t="str">
        <f t="shared" si="59"/>
        <v/>
      </c>
      <c r="M159" s="207" t="str">
        <f t="shared" si="60"/>
        <v/>
      </c>
      <c r="N159" s="235" t="str">
        <f t="shared" si="61"/>
        <v/>
      </c>
      <c r="O159" s="240"/>
      <c r="P159" s="229">
        <f t="shared" ca="1" si="68"/>
        <v>3.7553365687528865E-2</v>
      </c>
      <c r="Q159" s="229">
        <f t="shared" ca="1" si="69"/>
        <v>2.6622136019508846E-4</v>
      </c>
      <c r="R159" s="229" t="str">
        <f t="shared" si="62"/>
        <v/>
      </c>
      <c r="S159" s="239"/>
      <c r="T159" s="229" t="str">
        <f t="shared" si="63"/>
        <v/>
      </c>
      <c r="U159" s="229" t="str">
        <f t="shared" si="64"/>
        <v/>
      </c>
      <c r="V159" s="229" t="str">
        <f t="shared" si="65"/>
        <v/>
      </c>
    </row>
    <row r="160" spans="1:22" ht="15" customHeight="1" x14ac:dyDescent="0.25">
      <c r="A160" s="205">
        <f t="shared" si="50"/>
        <v>2058</v>
      </c>
      <c r="B160" s="207">
        <f t="shared" ca="1" si="66"/>
        <v>1.6852331160357295</v>
      </c>
      <c r="C160" s="207" t="str">
        <f t="shared" si="51"/>
        <v/>
      </c>
      <c r="D160" s="207" t="str">
        <f t="shared" si="52"/>
        <v/>
      </c>
      <c r="E160" s="234" t="str">
        <f t="shared" si="53"/>
        <v/>
      </c>
      <c r="F160" s="206">
        <f t="shared" ca="1" si="67"/>
        <v>7.5610611125026747E-2</v>
      </c>
      <c r="G160" s="207" t="str">
        <f t="shared" si="54"/>
        <v/>
      </c>
      <c r="H160" s="207" t="str">
        <f t="shared" si="55"/>
        <v/>
      </c>
      <c r="I160" s="234" t="str">
        <f t="shared" si="56"/>
        <v/>
      </c>
      <c r="J160" s="601" t="str">
        <f t="shared" ca="1" si="57"/>
        <v/>
      </c>
      <c r="K160" s="232" t="str">
        <f t="shared" si="58"/>
        <v/>
      </c>
      <c r="L160" s="232" t="str">
        <f t="shared" si="59"/>
        <v/>
      </c>
      <c r="M160" s="207" t="str">
        <f t="shared" si="60"/>
        <v/>
      </c>
      <c r="N160" s="235" t="str">
        <f t="shared" si="61"/>
        <v/>
      </c>
      <c r="O160" s="240"/>
      <c r="P160" s="229">
        <f t="shared" ca="1" si="68"/>
        <v>3.7553365687528865E-2</v>
      </c>
      <c r="Q160" s="229">
        <f t="shared" ca="1" si="69"/>
        <v>2.6622136019508846E-4</v>
      </c>
      <c r="R160" s="229" t="str">
        <f t="shared" si="62"/>
        <v/>
      </c>
      <c r="S160" s="239"/>
      <c r="T160" s="229" t="str">
        <f t="shared" si="63"/>
        <v/>
      </c>
      <c r="U160" s="229" t="str">
        <f t="shared" si="64"/>
        <v/>
      </c>
      <c r="V160" s="229" t="str">
        <f t="shared" si="65"/>
        <v/>
      </c>
    </row>
    <row r="161" spans="1:22" ht="15" customHeight="1" x14ac:dyDescent="0.25">
      <c r="A161" s="205">
        <f t="shared" si="50"/>
        <v>2059</v>
      </c>
      <c r="B161" s="207">
        <f t="shared" ca="1" si="66"/>
        <v>1.6942785637057598</v>
      </c>
      <c r="C161" s="207" t="str">
        <f t="shared" si="51"/>
        <v/>
      </c>
      <c r="D161" s="207" t="str">
        <f t="shared" si="52"/>
        <v/>
      </c>
      <c r="E161" s="234" t="str">
        <f t="shared" si="53"/>
        <v/>
      </c>
      <c r="F161" s="206">
        <f t="shared" ca="1" si="67"/>
        <v>7.5685897207268746E-2</v>
      </c>
      <c r="G161" s="207" t="str">
        <f t="shared" si="54"/>
        <v/>
      </c>
      <c r="H161" s="207" t="str">
        <f t="shared" si="55"/>
        <v/>
      </c>
      <c r="I161" s="234" t="str">
        <f t="shared" si="56"/>
        <v/>
      </c>
      <c r="J161" s="601" t="str">
        <f t="shared" ca="1" si="57"/>
        <v/>
      </c>
      <c r="K161" s="232" t="str">
        <f t="shared" si="58"/>
        <v/>
      </c>
      <c r="L161" s="232" t="str">
        <f t="shared" si="59"/>
        <v/>
      </c>
      <c r="M161" s="207" t="str">
        <f t="shared" si="60"/>
        <v/>
      </c>
      <c r="N161" s="235" t="str">
        <f t="shared" si="61"/>
        <v/>
      </c>
      <c r="O161" s="240"/>
      <c r="P161" s="229">
        <f t="shared" ca="1" si="68"/>
        <v>3.7553365687528865E-2</v>
      </c>
      <c r="Q161" s="229">
        <f t="shared" ca="1" si="69"/>
        <v>2.6622136019508846E-4</v>
      </c>
      <c r="R161" s="229" t="str">
        <f t="shared" si="62"/>
        <v/>
      </c>
      <c r="S161" s="239"/>
      <c r="T161" s="229" t="str">
        <f t="shared" si="63"/>
        <v/>
      </c>
      <c r="U161" s="229" t="str">
        <f t="shared" si="64"/>
        <v/>
      </c>
      <c r="V161" s="229" t="str">
        <f t="shared" si="65"/>
        <v/>
      </c>
    </row>
    <row r="162" spans="1:22" ht="15" customHeight="1" x14ac:dyDescent="0.25">
      <c r="A162" s="205">
        <f t="shared" si="50"/>
        <v>2060</v>
      </c>
      <c r="B162" s="207">
        <f t="shared" ca="1" si="66"/>
        <v>1.7033725625956615</v>
      </c>
      <c r="C162" s="207" t="str">
        <f t="shared" si="51"/>
        <v/>
      </c>
      <c r="D162" s="207" t="str">
        <f t="shared" si="52"/>
        <v/>
      </c>
      <c r="E162" s="234" t="str">
        <f t="shared" si="53"/>
        <v/>
      </c>
      <c r="F162" s="206">
        <f t="shared" ca="1" si="67"/>
        <v>7.5761258252457025E-2</v>
      </c>
      <c r="G162" s="207" t="str">
        <f t="shared" si="54"/>
        <v/>
      </c>
      <c r="H162" s="207" t="str">
        <f t="shared" si="55"/>
        <v/>
      </c>
      <c r="I162" s="234" t="str">
        <f t="shared" si="56"/>
        <v/>
      </c>
      <c r="J162" s="601" t="str">
        <f t="shared" ca="1" si="57"/>
        <v/>
      </c>
      <c r="K162" s="232" t="str">
        <f t="shared" si="58"/>
        <v/>
      </c>
      <c r="L162" s="232" t="str">
        <f t="shared" si="59"/>
        <v/>
      </c>
      <c r="M162" s="207" t="str">
        <f t="shared" si="60"/>
        <v/>
      </c>
      <c r="N162" s="235" t="str">
        <f t="shared" si="61"/>
        <v/>
      </c>
      <c r="O162" s="240"/>
      <c r="P162" s="229">
        <f t="shared" ca="1" si="68"/>
        <v>3.7553365687528865E-2</v>
      </c>
      <c r="Q162" s="229">
        <f t="shared" ca="1" si="69"/>
        <v>2.6622136019508846E-4</v>
      </c>
      <c r="R162" s="229" t="str">
        <f t="shared" si="62"/>
        <v/>
      </c>
      <c r="S162" s="239"/>
      <c r="T162" s="229" t="str">
        <f t="shared" si="63"/>
        <v/>
      </c>
      <c r="U162" s="229" t="str">
        <f t="shared" si="64"/>
        <v/>
      </c>
      <c r="V162" s="229" t="str">
        <f t="shared" si="65"/>
        <v/>
      </c>
    </row>
    <row r="163" spans="1:22" ht="15" customHeight="1" x14ac:dyDescent="0.25">
      <c r="A163" s="205">
        <f t="shared" si="50"/>
        <v>2061</v>
      </c>
      <c r="B163" s="207">
        <f t="shared" ca="1" si="66"/>
        <v>1.7114059701855897</v>
      </c>
      <c r="C163" s="207" t="str">
        <f t="shared" si="51"/>
        <v/>
      </c>
      <c r="D163" s="207" t="str">
        <f t="shared" si="52"/>
        <v/>
      </c>
      <c r="E163" s="234" t="str">
        <f t="shared" si="53"/>
        <v/>
      </c>
      <c r="F163" s="206">
        <f t="shared" ca="1" si="67"/>
        <v>7.5797620854553521E-2</v>
      </c>
      <c r="G163" s="207" t="str">
        <f t="shared" si="54"/>
        <v/>
      </c>
      <c r="H163" s="207" t="str">
        <f t="shared" si="55"/>
        <v/>
      </c>
      <c r="I163" s="234" t="str">
        <f t="shared" si="56"/>
        <v/>
      </c>
      <c r="J163" s="601" t="str">
        <f t="shared" ca="1" si="57"/>
        <v/>
      </c>
      <c r="K163" s="232" t="str">
        <f t="shared" si="58"/>
        <v/>
      </c>
      <c r="L163" s="232" t="str">
        <f t="shared" si="59"/>
        <v/>
      </c>
      <c r="M163" s="207" t="str">
        <f t="shared" si="60"/>
        <v/>
      </c>
      <c r="N163" s="235" t="str">
        <f t="shared" si="61"/>
        <v/>
      </c>
      <c r="O163" s="240"/>
      <c r="P163" s="229">
        <f t="shared" ca="1" si="68"/>
        <v>3.7553365687528865E-2</v>
      </c>
      <c r="Q163" s="229">
        <f t="shared" ca="1" si="69"/>
        <v>2.6622136019508846E-4</v>
      </c>
      <c r="R163" s="229" t="str">
        <f t="shared" si="62"/>
        <v/>
      </c>
      <c r="S163" s="239"/>
      <c r="T163" s="229" t="str">
        <f t="shared" si="63"/>
        <v/>
      </c>
      <c r="U163" s="229" t="str">
        <f t="shared" si="64"/>
        <v/>
      </c>
      <c r="V163" s="229" t="str">
        <f t="shared" si="65"/>
        <v/>
      </c>
    </row>
    <row r="164" spans="1:22" ht="15" customHeight="1" x14ac:dyDescent="0.25">
      <c r="A164" s="205">
        <f t="shared" si="50"/>
        <v>2062</v>
      </c>
      <c r="B164" s="207">
        <f t="shared" ca="1" si="66"/>
        <v>1.7194772647527554</v>
      </c>
      <c r="C164" s="207" t="str">
        <f t="shared" si="51"/>
        <v/>
      </c>
      <c r="D164" s="207" t="str">
        <f t="shared" si="52"/>
        <v/>
      </c>
      <c r="E164" s="234" t="str">
        <f t="shared" si="53"/>
        <v/>
      </c>
      <c r="F164" s="206">
        <f t="shared" ca="1" si="67"/>
        <v>7.5834000909354243E-2</v>
      </c>
      <c r="G164" s="207" t="str">
        <f t="shared" si="54"/>
        <v/>
      </c>
      <c r="H164" s="207" t="str">
        <f t="shared" si="55"/>
        <v/>
      </c>
      <c r="I164" s="234" t="str">
        <f t="shared" si="56"/>
        <v/>
      </c>
      <c r="J164" s="601" t="str">
        <f t="shared" ca="1" si="57"/>
        <v/>
      </c>
      <c r="K164" s="232" t="str">
        <f t="shared" si="58"/>
        <v/>
      </c>
      <c r="L164" s="232" t="str">
        <f t="shared" si="59"/>
        <v/>
      </c>
      <c r="M164" s="207" t="str">
        <f t="shared" si="60"/>
        <v/>
      </c>
      <c r="N164" s="235" t="str">
        <f t="shared" si="61"/>
        <v/>
      </c>
      <c r="O164" s="240"/>
      <c r="P164" s="229">
        <f t="shared" ca="1" si="68"/>
        <v>3.7553365687528865E-2</v>
      </c>
      <c r="Q164" s="229">
        <f t="shared" ca="1" si="69"/>
        <v>2.6622136019508846E-4</v>
      </c>
      <c r="R164" s="229" t="str">
        <f t="shared" si="62"/>
        <v/>
      </c>
      <c r="S164" s="239"/>
      <c r="T164" s="229" t="str">
        <f t="shared" si="63"/>
        <v/>
      </c>
      <c r="U164" s="229" t="str">
        <f t="shared" si="64"/>
        <v/>
      </c>
      <c r="V164" s="229" t="str">
        <f t="shared" si="65"/>
        <v/>
      </c>
    </row>
    <row r="165" spans="1:22" ht="15" customHeight="1" x14ac:dyDescent="0.25">
      <c r="A165" s="205">
        <f t="shared" si="50"/>
        <v>2063</v>
      </c>
      <c r="B165" s="207">
        <f t="shared" ca="1" si="66"/>
        <v>1.7275866249788734</v>
      </c>
      <c r="C165" s="207" t="str">
        <f t="shared" si="51"/>
        <v/>
      </c>
      <c r="D165" s="207" t="str">
        <f t="shared" si="52"/>
        <v/>
      </c>
      <c r="E165" s="234" t="str">
        <f t="shared" si="53"/>
        <v/>
      </c>
      <c r="F165" s="206">
        <f t="shared" ca="1" si="67"/>
        <v>7.5870398425235824E-2</v>
      </c>
      <c r="G165" s="207" t="str">
        <f t="shared" si="54"/>
        <v/>
      </c>
      <c r="H165" s="207" t="str">
        <f t="shared" si="55"/>
        <v/>
      </c>
      <c r="I165" s="234" t="str">
        <f t="shared" si="56"/>
        <v/>
      </c>
      <c r="J165" s="601" t="str">
        <f t="shared" ca="1" si="57"/>
        <v/>
      </c>
      <c r="K165" s="232" t="str">
        <f t="shared" si="58"/>
        <v/>
      </c>
      <c r="L165" s="232" t="str">
        <f t="shared" si="59"/>
        <v/>
      </c>
      <c r="M165" s="207" t="str">
        <f t="shared" si="60"/>
        <v/>
      </c>
      <c r="N165" s="235" t="str">
        <f t="shared" si="61"/>
        <v/>
      </c>
      <c r="O165" s="240"/>
      <c r="P165" s="229">
        <f t="shared" ca="1" si="68"/>
        <v>3.7553365687528865E-2</v>
      </c>
      <c r="Q165" s="229">
        <f t="shared" ca="1" si="69"/>
        <v>2.6622136019508846E-4</v>
      </c>
      <c r="R165" s="229" t="str">
        <f t="shared" si="62"/>
        <v/>
      </c>
      <c r="S165" s="239"/>
      <c r="T165" s="229" t="str">
        <f t="shared" si="63"/>
        <v/>
      </c>
      <c r="U165" s="229" t="str">
        <f t="shared" si="64"/>
        <v/>
      </c>
      <c r="V165" s="229" t="str">
        <f t="shared" si="65"/>
        <v/>
      </c>
    </row>
    <row r="166" spans="1:22" ht="15" customHeight="1" x14ac:dyDescent="0.25">
      <c r="A166" s="205">
        <f t="shared" si="50"/>
        <v>2064</v>
      </c>
      <c r="B166" s="207">
        <f t="shared" ca="1" si="66"/>
        <v>1.7357342303883532</v>
      </c>
      <c r="C166" s="207" t="str">
        <f t="shared" si="51"/>
        <v/>
      </c>
      <c r="D166" s="207" t="str">
        <f t="shared" si="52"/>
        <v/>
      </c>
      <c r="E166" s="234" t="str">
        <f t="shared" si="53"/>
        <v/>
      </c>
      <c r="F166" s="206">
        <f t="shared" ca="1" si="67"/>
        <v>7.5906813410578935E-2</v>
      </c>
      <c r="G166" s="207" t="str">
        <f t="shared" si="54"/>
        <v/>
      </c>
      <c r="H166" s="207" t="str">
        <f t="shared" si="55"/>
        <v/>
      </c>
      <c r="I166" s="234" t="str">
        <f t="shared" si="56"/>
        <v/>
      </c>
      <c r="J166" s="601" t="str">
        <f t="shared" ca="1" si="57"/>
        <v/>
      </c>
      <c r="K166" s="232" t="str">
        <f t="shared" si="58"/>
        <v/>
      </c>
      <c r="L166" s="232" t="str">
        <f t="shared" si="59"/>
        <v/>
      </c>
      <c r="M166" s="207" t="str">
        <f t="shared" si="60"/>
        <v/>
      </c>
      <c r="N166" s="235" t="str">
        <f t="shared" si="61"/>
        <v/>
      </c>
      <c r="O166" s="240"/>
      <c r="P166" s="229">
        <f t="shared" ca="1" si="68"/>
        <v>3.7553365687528865E-2</v>
      </c>
      <c r="Q166" s="229">
        <f t="shared" ca="1" si="69"/>
        <v>2.6622136019508846E-4</v>
      </c>
      <c r="R166" s="229" t="str">
        <f t="shared" si="62"/>
        <v/>
      </c>
      <c r="S166" s="239"/>
      <c r="T166" s="229" t="str">
        <f t="shared" si="63"/>
        <v/>
      </c>
      <c r="U166" s="229" t="str">
        <f t="shared" si="64"/>
        <v/>
      </c>
      <c r="V166" s="229" t="str">
        <f t="shared" si="65"/>
        <v/>
      </c>
    </row>
    <row r="167" spans="1:22" ht="15" customHeight="1" x14ac:dyDescent="0.25">
      <c r="A167" s="205">
        <f t="shared" si="50"/>
        <v>2065</v>
      </c>
      <c r="B167" s="207">
        <f t="shared" ca="1" si="66"/>
        <v>1.7439202613522733</v>
      </c>
      <c r="C167" s="207" t="str">
        <f t="shared" si="51"/>
        <v/>
      </c>
      <c r="D167" s="207" t="str">
        <f t="shared" si="52"/>
        <v/>
      </c>
      <c r="E167" s="234" t="str">
        <f t="shared" si="53"/>
        <v/>
      </c>
      <c r="F167" s="206">
        <f t="shared" ca="1" si="67"/>
        <v>7.59432458737683E-2</v>
      </c>
      <c r="G167" s="207" t="str">
        <f t="shared" si="54"/>
        <v/>
      </c>
      <c r="H167" s="207" t="str">
        <f t="shared" si="55"/>
        <v/>
      </c>
      <c r="I167" s="234" t="str">
        <f t="shared" si="56"/>
        <v/>
      </c>
      <c r="J167" s="601" t="str">
        <f t="shared" ca="1" si="57"/>
        <v/>
      </c>
      <c r="K167" s="232" t="str">
        <f t="shared" si="58"/>
        <v/>
      </c>
      <c r="L167" s="232" t="str">
        <f t="shared" si="59"/>
        <v/>
      </c>
      <c r="M167" s="207" t="str">
        <f t="shared" si="60"/>
        <v/>
      </c>
      <c r="N167" s="235" t="str">
        <f t="shared" si="61"/>
        <v/>
      </c>
      <c r="O167" s="240"/>
      <c r="P167" s="229">
        <f t="shared" ca="1" si="68"/>
        <v>3.7553365687528865E-2</v>
      </c>
      <c r="Q167" s="229">
        <f t="shared" ca="1" si="69"/>
        <v>2.6622136019508846E-4</v>
      </c>
      <c r="R167" s="229" t="str">
        <f t="shared" si="62"/>
        <v/>
      </c>
      <c r="S167" s="239"/>
      <c r="T167" s="229" t="str">
        <f t="shared" si="63"/>
        <v/>
      </c>
      <c r="U167" s="229" t="str">
        <f t="shared" si="64"/>
        <v/>
      </c>
      <c r="V167" s="229" t="str">
        <f t="shared" si="65"/>
        <v/>
      </c>
    </row>
    <row r="168" spans="1:22" ht="15" customHeight="1" x14ac:dyDescent="0.25">
      <c r="A168" s="205">
        <f t="shared" si="50"/>
        <v>2066</v>
      </c>
      <c r="B168" s="207">
        <f t="shared" ca="1" si="66"/>
        <v>1.750929755001162</v>
      </c>
      <c r="C168" s="207" t="str">
        <f t="shared" si="51"/>
        <v/>
      </c>
      <c r="D168" s="207" t="str">
        <f t="shared" si="52"/>
        <v/>
      </c>
      <c r="E168" s="234" t="str">
        <f t="shared" si="53"/>
        <v/>
      </c>
      <c r="F168" s="206">
        <f t="shared" ca="1" si="67"/>
        <v>7.5978411274619739E-2</v>
      </c>
      <c r="G168" s="207" t="str">
        <f t="shared" si="54"/>
        <v/>
      </c>
      <c r="H168" s="207" t="str">
        <f t="shared" si="55"/>
        <v/>
      </c>
      <c r="I168" s="234" t="str">
        <f t="shared" si="56"/>
        <v/>
      </c>
      <c r="J168" s="601" t="str">
        <f t="shared" ca="1" si="57"/>
        <v/>
      </c>
      <c r="K168" s="232" t="str">
        <f t="shared" si="58"/>
        <v/>
      </c>
      <c r="L168" s="232" t="str">
        <f t="shared" si="59"/>
        <v/>
      </c>
      <c r="M168" s="207" t="str">
        <f t="shared" si="60"/>
        <v/>
      </c>
      <c r="N168" s="235" t="str">
        <f t="shared" si="61"/>
        <v/>
      </c>
      <c r="O168" s="240"/>
      <c r="P168" s="229">
        <f t="shared" ca="1" si="68"/>
        <v>3.7553365687528865E-2</v>
      </c>
      <c r="Q168" s="229">
        <f t="shared" ca="1" si="69"/>
        <v>2.6622136019508846E-4</v>
      </c>
      <c r="R168" s="229" t="str">
        <f t="shared" si="62"/>
        <v/>
      </c>
      <c r="S168" s="239"/>
      <c r="T168" s="229" t="str">
        <f t="shared" si="63"/>
        <v/>
      </c>
      <c r="U168" s="229" t="str">
        <f t="shared" si="64"/>
        <v/>
      </c>
      <c r="V168" s="229" t="str">
        <f t="shared" si="65"/>
        <v/>
      </c>
    </row>
    <row r="169" spans="1:22" ht="15" customHeight="1" x14ac:dyDescent="0.25">
      <c r="A169" s="205">
        <f t="shared" si="50"/>
        <v>2067</v>
      </c>
      <c r="B169" s="207">
        <f t="shared" ca="1" si="66"/>
        <v>1.7579674225306474</v>
      </c>
      <c r="C169" s="207" t="str">
        <f t="shared" si="51"/>
        <v/>
      </c>
      <c r="D169" s="207" t="str">
        <f t="shared" si="52"/>
        <v/>
      </c>
      <c r="E169" s="234" t="str">
        <f t="shared" si="53"/>
        <v/>
      </c>
      <c r="F169" s="206">
        <f t="shared" ca="1" si="67"/>
        <v>7.6013592958754858E-2</v>
      </c>
      <c r="G169" s="207" t="str">
        <f t="shared" si="54"/>
        <v/>
      </c>
      <c r="H169" s="207" t="str">
        <f t="shared" si="55"/>
        <v/>
      </c>
      <c r="I169" s="234" t="str">
        <f t="shared" si="56"/>
        <v/>
      </c>
      <c r="J169" s="601" t="str">
        <f t="shared" ca="1" si="57"/>
        <v/>
      </c>
      <c r="K169" s="232" t="str">
        <f t="shared" si="58"/>
        <v/>
      </c>
      <c r="L169" s="232" t="str">
        <f t="shared" si="59"/>
        <v/>
      </c>
      <c r="M169" s="207" t="str">
        <f t="shared" si="60"/>
        <v/>
      </c>
      <c r="N169" s="235" t="str">
        <f t="shared" si="61"/>
        <v/>
      </c>
      <c r="O169" s="240"/>
      <c r="P169" s="229">
        <f t="shared" ca="1" si="68"/>
        <v>3.7553365687528865E-2</v>
      </c>
      <c r="Q169" s="229">
        <f t="shared" ca="1" si="69"/>
        <v>2.6622136019508846E-4</v>
      </c>
      <c r="R169" s="229" t="str">
        <f t="shared" si="62"/>
        <v/>
      </c>
      <c r="S169" s="239"/>
      <c r="T169" s="229" t="str">
        <f t="shared" si="63"/>
        <v/>
      </c>
      <c r="U169" s="229" t="str">
        <f t="shared" si="64"/>
        <v/>
      </c>
      <c r="V169" s="229" t="str">
        <f t="shared" si="65"/>
        <v/>
      </c>
    </row>
    <row r="170" spans="1:22" ht="15" customHeight="1" x14ac:dyDescent="0.25">
      <c r="A170" s="205">
        <f t="shared" si="50"/>
        <v>2068</v>
      </c>
      <c r="B170" s="207">
        <f t="shared" ca="1" si="66"/>
        <v>1.7650333771825111</v>
      </c>
      <c r="C170" s="207" t="str">
        <f t="shared" si="51"/>
        <v/>
      </c>
      <c r="D170" s="207" t="str">
        <f t="shared" si="52"/>
        <v/>
      </c>
      <c r="E170" s="234" t="str">
        <f t="shared" si="53"/>
        <v/>
      </c>
      <c r="F170" s="206">
        <f t="shared" ca="1" si="67"/>
        <v>7.6048790933713625E-2</v>
      </c>
      <c r="G170" s="207" t="str">
        <f t="shared" si="54"/>
        <v/>
      </c>
      <c r="H170" s="207" t="str">
        <f t="shared" si="55"/>
        <v/>
      </c>
      <c r="I170" s="234" t="str">
        <f t="shared" si="56"/>
        <v/>
      </c>
      <c r="J170" s="601" t="str">
        <f t="shared" ca="1" si="57"/>
        <v/>
      </c>
      <c r="K170" s="232" t="str">
        <f t="shared" si="58"/>
        <v/>
      </c>
      <c r="L170" s="232" t="str">
        <f t="shared" si="59"/>
        <v/>
      </c>
      <c r="M170" s="207" t="str">
        <f t="shared" si="60"/>
        <v/>
      </c>
      <c r="N170" s="235" t="str">
        <f t="shared" si="61"/>
        <v/>
      </c>
      <c r="O170" s="240"/>
      <c r="P170" s="229">
        <f t="shared" ca="1" si="68"/>
        <v>3.7553365687528865E-2</v>
      </c>
      <c r="Q170" s="229">
        <f t="shared" ca="1" si="69"/>
        <v>2.6622136019508846E-4</v>
      </c>
      <c r="R170" s="229" t="str">
        <f t="shared" si="62"/>
        <v/>
      </c>
      <c r="S170" s="239"/>
      <c r="T170" s="229" t="str">
        <f t="shared" si="63"/>
        <v/>
      </c>
      <c r="U170" s="229" t="str">
        <f t="shared" si="64"/>
        <v/>
      </c>
      <c r="V170" s="229" t="str">
        <f t="shared" si="65"/>
        <v/>
      </c>
    </row>
    <row r="171" spans="1:22" ht="15" customHeight="1" x14ac:dyDescent="0.25">
      <c r="A171" s="205">
        <f t="shared" si="50"/>
        <v>2069</v>
      </c>
      <c r="B171" s="207">
        <f t="shared" ca="1" si="66"/>
        <v>1.7721277326536973</v>
      </c>
      <c r="C171" s="207" t="str">
        <f t="shared" si="51"/>
        <v/>
      </c>
      <c r="D171" s="207" t="str">
        <f t="shared" si="52"/>
        <v/>
      </c>
      <c r="E171" s="234" t="str">
        <f t="shared" si="53"/>
        <v/>
      </c>
      <c r="F171" s="206">
        <f t="shared" ca="1" si="67"/>
        <v>7.6084005207039465E-2</v>
      </c>
      <c r="G171" s="207" t="str">
        <f t="shared" si="54"/>
        <v/>
      </c>
      <c r="H171" s="207" t="str">
        <f t="shared" si="55"/>
        <v/>
      </c>
      <c r="I171" s="234" t="str">
        <f t="shared" si="56"/>
        <v/>
      </c>
      <c r="J171" s="601" t="str">
        <f t="shared" ca="1" si="57"/>
        <v/>
      </c>
      <c r="K171" s="232" t="str">
        <f t="shared" si="58"/>
        <v/>
      </c>
      <c r="L171" s="232" t="str">
        <f t="shared" si="59"/>
        <v/>
      </c>
      <c r="M171" s="207" t="str">
        <f t="shared" si="60"/>
        <v/>
      </c>
      <c r="N171" s="235" t="str">
        <f t="shared" si="61"/>
        <v/>
      </c>
      <c r="O171" s="240"/>
      <c r="P171" s="229">
        <f t="shared" ca="1" si="68"/>
        <v>3.7553365687528865E-2</v>
      </c>
      <c r="Q171" s="229">
        <f t="shared" ca="1" si="69"/>
        <v>2.6622136019508846E-4</v>
      </c>
      <c r="R171" s="229" t="str">
        <f t="shared" si="62"/>
        <v/>
      </c>
      <c r="S171" s="239"/>
      <c r="T171" s="229" t="str">
        <f t="shared" si="63"/>
        <v/>
      </c>
      <c r="U171" s="229" t="str">
        <f t="shared" si="64"/>
        <v/>
      </c>
      <c r="V171" s="229" t="str">
        <f t="shared" si="65"/>
        <v/>
      </c>
    </row>
    <row r="172" spans="1:22" ht="15" customHeight="1" x14ac:dyDescent="0.25">
      <c r="A172" s="205">
        <f t="shared" si="50"/>
        <v>2070</v>
      </c>
      <c r="B172" s="207">
        <f t="shared" ca="1" si="66"/>
        <v>1.7792506030981423</v>
      </c>
      <c r="C172" s="207" t="str">
        <f t="shared" si="51"/>
        <v/>
      </c>
      <c r="D172" s="207" t="str">
        <f t="shared" si="52"/>
        <v/>
      </c>
      <c r="E172" s="234" t="str">
        <f t="shared" si="53"/>
        <v/>
      </c>
      <c r="F172" s="206">
        <f t="shared" ca="1" si="67"/>
        <v>7.6119235786279327E-2</v>
      </c>
      <c r="G172" s="207" t="str">
        <f t="shared" si="54"/>
        <v/>
      </c>
      <c r="H172" s="207" t="str">
        <f t="shared" si="55"/>
        <v/>
      </c>
      <c r="I172" s="234" t="str">
        <f t="shared" si="56"/>
        <v/>
      </c>
      <c r="J172" s="601" t="str">
        <f t="shared" ca="1" si="57"/>
        <v/>
      </c>
      <c r="K172" s="232" t="str">
        <f t="shared" si="58"/>
        <v/>
      </c>
      <c r="L172" s="232" t="str">
        <f t="shared" si="59"/>
        <v/>
      </c>
      <c r="M172" s="207" t="str">
        <f t="shared" si="60"/>
        <v/>
      </c>
      <c r="N172" s="235" t="str">
        <f t="shared" si="61"/>
        <v/>
      </c>
      <c r="O172" s="240"/>
      <c r="P172" s="229">
        <f t="shared" ca="1" si="68"/>
        <v>3.7553365687528865E-2</v>
      </c>
      <c r="Q172" s="229">
        <f t="shared" ca="1" si="69"/>
        <v>2.6622136019508846E-4</v>
      </c>
      <c r="R172" s="229" t="str">
        <f t="shared" si="62"/>
        <v/>
      </c>
      <c r="S172" s="239"/>
      <c r="T172" s="229" t="str">
        <f t="shared" si="63"/>
        <v/>
      </c>
      <c r="U172" s="229" t="str">
        <f t="shared" si="64"/>
        <v/>
      </c>
      <c r="V172" s="229" t="str">
        <f t="shared" si="65"/>
        <v/>
      </c>
    </row>
    <row r="173" spans="1:22" ht="15" customHeight="1" x14ac:dyDescent="0.25">
      <c r="A173" s="205">
        <f t="shared" si="50"/>
        <v>2071</v>
      </c>
      <c r="B173" s="207">
        <f t="shared" ca="1" si="66"/>
        <v>1.7851582382719653</v>
      </c>
      <c r="C173" s="207" t="str">
        <f t="shared" si="51"/>
        <v/>
      </c>
      <c r="D173" s="207" t="str">
        <f t="shared" si="52"/>
        <v/>
      </c>
      <c r="E173" s="234" t="str">
        <f t="shared" si="53"/>
        <v/>
      </c>
      <c r="F173" s="206">
        <f t="shared" ca="1" si="67"/>
        <v>7.6142235948119225E-2</v>
      </c>
      <c r="G173" s="207" t="str">
        <f t="shared" si="54"/>
        <v/>
      </c>
      <c r="H173" s="207" t="str">
        <f t="shared" si="55"/>
        <v/>
      </c>
      <c r="I173" s="234" t="str">
        <f t="shared" si="56"/>
        <v/>
      </c>
      <c r="J173" s="601" t="str">
        <f t="shared" ca="1" si="57"/>
        <v/>
      </c>
      <c r="K173" s="232" t="str">
        <f t="shared" si="58"/>
        <v/>
      </c>
      <c r="L173" s="232" t="str">
        <f t="shared" si="59"/>
        <v/>
      </c>
      <c r="M173" s="207" t="str">
        <f t="shared" si="60"/>
        <v/>
      </c>
      <c r="N173" s="235" t="str">
        <f t="shared" si="61"/>
        <v/>
      </c>
      <c r="O173" s="240"/>
      <c r="P173" s="229">
        <f t="shared" ca="1" si="68"/>
        <v>3.7553365687528865E-2</v>
      </c>
      <c r="Q173" s="229">
        <f t="shared" ca="1" si="69"/>
        <v>2.6622136019508846E-4</v>
      </c>
      <c r="R173" s="229" t="str">
        <f t="shared" si="62"/>
        <v/>
      </c>
      <c r="S173" s="239"/>
      <c r="T173" s="229" t="str">
        <f t="shared" si="63"/>
        <v/>
      </c>
      <c r="U173" s="229" t="str">
        <f t="shared" si="64"/>
        <v/>
      </c>
      <c r="V173" s="229" t="str">
        <f t="shared" si="65"/>
        <v/>
      </c>
    </row>
    <row r="174" spans="1:22" ht="15" customHeight="1" x14ac:dyDescent="0.25">
      <c r="A174" s="205">
        <f t="shared" si="50"/>
        <v>2072</v>
      </c>
      <c r="B174" s="207">
        <f t="shared" ca="1" si="66"/>
        <v>1.7910854885316485</v>
      </c>
      <c r="C174" s="207" t="str">
        <f t="shared" si="51"/>
        <v/>
      </c>
      <c r="D174" s="207" t="str">
        <f t="shared" si="52"/>
        <v/>
      </c>
      <c r="E174" s="234" t="str">
        <f t="shared" si="53"/>
        <v/>
      </c>
      <c r="F174" s="206">
        <f t="shared" ca="1" si="67"/>
        <v>7.6165243059680032E-2</v>
      </c>
      <c r="G174" s="207" t="str">
        <f t="shared" si="54"/>
        <v/>
      </c>
      <c r="H174" s="207" t="str">
        <f t="shared" si="55"/>
        <v/>
      </c>
      <c r="I174" s="234" t="str">
        <f t="shared" si="56"/>
        <v/>
      </c>
      <c r="J174" s="601" t="str">
        <f t="shared" ca="1" si="57"/>
        <v/>
      </c>
      <c r="K174" s="232" t="str">
        <f t="shared" si="58"/>
        <v/>
      </c>
      <c r="L174" s="232" t="str">
        <f t="shared" si="59"/>
        <v/>
      </c>
      <c r="M174" s="207" t="str">
        <f t="shared" si="60"/>
        <v/>
      </c>
      <c r="N174" s="235" t="str">
        <f t="shared" si="61"/>
        <v/>
      </c>
      <c r="O174" s="240"/>
      <c r="P174" s="229">
        <f t="shared" ca="1" si="68"/>
        <v>3.7553365687528865E-2</v>
      </c>
      <c r="Q174" s="229">
        <f t="shared" ca="1" si="69"/>
        <v>2.6622136019508846E-4</v>
      </c>
      <c r="R174" s="229" t="str">
        <f t="shared" si="62"/>
        <v/>
      </c>
      <c r="S174" s="239"/>
      <c r="T174" s="229" t="str">
        <f t="shared" si="63"/>
        <v/>
      </c>
      <c r="U174" s="229" t="str">
        <f t="shared" si="64"/>
        <v/>
      </c>
      <c r="V174" s="229" t="str">
        <f t="shared" si="65"/>
        <v/>
      </c>
    </row>
    <row r="175" spans="1:22" ht="15" customHeight="1" x14ac:dyDescent="0.25">
      <c r="A175" s="205">
        <f t="shared" si="50"/>
        <v>2073</v>
      </c>
      <c r="B175" s="207">
        <f t="shared" ca="1" si="66"/>
        <v>1.7970324190050448</v>
      </c>
      <c r="C175" s="207" t="str">
        <f t="shared" si="51"/>
        <v/>
      </c>
      <c r="D175" s="207" t="str">
        <f t="shared" si="52"/>
        <v/>
      </c>
      <c r="E175" s="234" t="str">
        <f t="shared" si="53"/>
        <v/>
      </c>
      <c r="F175" s="206">
        <f t="shared" ca="1" si="67"/>
        <v>7.6188257123061667E-2</v>
      </c>
      <c r="G175" s="207" t="str">
        <f t="shared" si="54"/>
        <v/>
      </c>
      <c r="H175" s="207" t="str">
        <f t="shared" si="55"/>
        <v/>
      </c>
      <c r="I175" s="234" t="str">
        <f t="shared" si="56"/>
        <v/>
      </c>
      <c r="J175" s="601" t="str">
        <f t="shared" ca="1" si="57"/>
        <v/>
      </c>
      <c r="K175" s="232" t="str">
        <f t="shared" si="58"/>
        <v/>
      </c>
      <c r="L175" s="232" t="str">
        <f t="shared" si="59"/>
        <v/>
      </c>
      <c r="M175" s="207" t="str">
        <f t="shared" si="60"/>
        <v/>
      </c>
      <c r="N175" s="235" t="str">
        <f t="shared" si="61"/>
        <v/>
      </c>
      <c r="O175" s="240"/>
      <c r="P175" s="229">
        <f t="shared" ca="1" si="68"/>
        <v>3.7553365687528865E-2</v>
      </c>
      <c r="Q175" s="229">
        <f t="shared" ca="1" si="69"/>
        <v>2.6622136019508846E-4</v>
      </c>
      <c r="R175" s="229" t="str">
        <f t="shared" si="62"/>
        <v/>
      </c>
      <c r="S175" s="239"/>
      <c r="T175" s="229" t="str">
        <f t="shared" si="63"/>
        <v/>
      </c>
      <c r="U175" s="229" t="str">
        <f t="shared" si="64"/>
        <v/>
      </c>
      <c r="V175" s="229" t="str">
        <f t="shared" si="65"/>
        <v/>
      </c>
    </row>
    <row r="176" spans="1:22" ht="15" customHeight="1" x14ac:dyDescent="0.25">
      <c r="A176" s="205">
        <f t="shared" si="50"/>
        <v>2074</v>
      </c>
      <c r="B176" s="207">
        <f t="shared" ca="1" si="66"/>
        <v>1.8029990950362504</v>
      </c>
      <c r="C176" s="207" t="str">
        <f t="shared" si="51"/>
        <v/>
      </c>
      <c r="D176" s="207" t="str">
        <f t="shared" si="52"/>
        <v/>
      </c>
      <c r="E176" s="234" t="str">
        <f t="shared" si="53"/>
        <v/>
      </c>
      <c r="F176" s="206">
        <f t="shared" ca="1" si="67"/>
        <v>7.6211278140364713E-2</v>
      </c>
      <c r="G176" s="207" t="str">
        <f t="shared" si="54"/>
        <v/>
      </c>
      <c r="H176" s="207" t="str">
        <f t="shared" si="55"/>
        <v/>
      </c>
      <c r="I176" s="234" t="str">
        <f t="shared" si="56"/>
        <v/>
      </c>
      <c r="J176" s="601" t="str">
        <f t="shared" ca="1" si="57"/>
        <v/>
      </c>
      <c r="K176" s="232" t="str">
        <f t="shared" si="58"/>
        <v/>
      </c>
      <c r="L176" s="232" t="str">
        <f t="shared" si="59"/>
        <v/>
      </c>
      <c r="M176" s="207" t="str">
        <f t="shared" si="60"/>
        <v/>
      </c>
      <c r="N176" s="235" t="str">
        <f t="shared" si="61"/>
        <v/>
      </c>
      <c r="O176" s="240"/>
      <c r="P176" s="229">
        <f t="shared" ca="1" si="68"/>
        <v>3.7553365687528865E-2</v>
      </c>
      <c r="Q176" s="229">
        <f t="shared" ca="1" si="69"/>
        <v>2.6622136019508846E-4</v>
      </c>
      <c r="R176" s="229" t="str">
        <f t="shared" si="62"/>
        <v/>
      </c>
      <c r="S176" s="239"/>
      <c r="T176" s="229" t="str">
        <f t="shared" si="63"/>
        <v/>
      </c>
      <c r="U176" s="229" t="str">
        <f t="shared" si="64"/>
        <v/>
      </c>
      <c r="V176" s="229" t="str">
        <f t="shared" si="65"/>
        <v/>
      </c>
    </row>
    <row r="177" spans="1:22" ht="15" customHeight="1" x14ac:dyDescent="0.25">
      <c r="A177" s="205">
        <f t="shared" si="50"/>
        <v>2075</v>
      </c>
      <c r="B177" s="207">
        <f t="shared" ca="1" si="66"/>
        <v>1.8089855821863237</v>
      </c>
      <c r="C177" s="207" t="str">
        <f t="shared" si="51"/>
        <v/>
      </c>
      <c r="D177" s="207" t="str">
        <f t="shared" si="52"/>
        <v/>
      </c>
      <c r="E177" s="234" t="str">
        <f t="shared" si="53"/>
        <v/>
      </c>
      <c r="F177" s="206">
        <f t="shared" ca="1" si="67"/>
        <v>7.6234306113690337E-2</v>
      </c>
      <c r="G177" s="207" t="str">
        <f t="shared" si="54"/>
        <v/>
      </c>
      <c r="H177" s="207" t="str">
        <f t="shared" si="55"/>
        <v/>
      </c>
      <c r="I177" s="234" t="str">
        <f t="shared" si="56"/>
        <v/>
      </c>
      <c r="J177" s="601" t="str">
        <f t="shared" ca="1" si="57"/>
        <v/>
      </c>
      <c r="K177" s="232" t="str">
        <f t="shared" si="58"/>
        <v/>
      </c>
      <c r="L177" s="232" t="str">
        <f t="shared" si="59"/>
        <v/>
      </c>
      <c r="M177" s="207" t="str">
        <f t="shared" si="60"/>
        <v/>
      </c>
      <c r="N177" s="235" t="str">
        <f t="shared" si="61"/>
        <v/>
      </c>
      <c r="O177" s="240"/>
      <c r="P177" s="229">
        <f t="shared" ca="1" si="68"/>
        <v>3.7553365687528865E-2</v>
      </c>
      <c r="Q177" s="229">
        <f t="shared" ca="1" si="69"/>
        <v>2.6622136019508846E-4</v>
      </c>
      <c r="R177" s="229" t="str">
        <f t="shared" si="62"/>
        <v/>
      </c>
      <c r="S177" s="239"/>
      <c r="T177" s="229" t="str">
        <f t="shared" si="63"/>
        <v/>
      </c>
      <c r="U177" s="229" t="str">
        <f t="shared" si="64"/>
        <v/>
      </c>
      <c r="V177" s="229" t="str">
        <f t="shared" si="65"/>
        <v/>
      </c>
    </row>
    <row r="178" spans="1:22" ht="15" customHeight="1" x14ac:dyDescent="0.25">
      <c r="A178" s="205">
        <f t="shared" si="50"/>
        <v>2076</v>
      </c>
      <c r="B178" s="207">
        <f t="shared" ca="1" si="66"/>
        <v>1.812845827607382</v>
      </c>
      <c r="C178" s="207" t="str">
        <f t="shared" si="51"/>
        <v/>
      </c>
      <c r="D178" s="207" t="str">
        <f t="shared" si="52"/>
        <v/>
      </c>
      <c r="E178" s="234" t="str">
        <f t="shared" si="53"/>
        <v/>
      </c>
      <c r="F178" s="206">
        <f t="shared" ca="1" si="67"/>
        <v>7.6225684599495316E-2</v>
      </c>
      <c r="G178" s="207" t="str">
        <f t="shared" si="54"/>
        <v/>
      </c>
      <c r="H178" s="207" t="str">
        <f t="shared" si="55"/>
        <v/>
      </c>
      <c r="I178" s="234" t="str">
        <f t="shared" si="56"/>
        <v/>
      </c>
      <c r="J178" s="601" t="str">
        <f t="shared" ca="1" si="57"/>
        <v/>
      </c>
      <c r="K178" s="232" t="str">
        <f t="shared" si="58"/>
        <v/>
      </c>
      <c r="L178" s="232" t="str">
        <f t="shared" si="59"/>
        <v/>
      </c>
      <c r="M178" s="207" t="str">
        <f t="shared" si="60"/>
        <v/>
      </c>
      <c r="N178" s="235" t="str">
        <f t="shared" si="61"/>
        <v/>
      </c>
      <c r="O178" s="240"/>
      <c r="P178" s="229">
        <f t="shared" ca="1" si="68"/>
        <v>3.7553365687528865E-2</v>
      </c>
      <c r="Q178" s="229">
        <f t="shared" ca="1" si="69"/>
        <v>2.6622136019508846E-4</v>
      </c>
      <c r="R178" s="229" t="str">
        <f t="shared" si="62"/>
        <v/>
      </c>
      <c r="S178" s="239"/>
      <c r="T178" s="229" t="str">
        <f t="shared" si="63"/>
        <v/>
      </c>
      <c r="U178" s="229" t="str">
        <f t="shared" si="64"/>
        <v/>
      </c>
      <c r="V178" s="229" t="str">
        <f t="shared" si="65"/>
        <v/>
      </c>
    </row>
    <row r="179" spans="1:22" ht="15" customHeight="1" x14ac:dyDescent="0.25">
      <c r="A179" s="205">
        <f t="shared" si="50"/>
        <v>2077</v>
      </c>
      <c r="B179" s="207">
        <f t="shared" ca="1" si="66"/>
        <v>1.8167143105151606</v>
      </c>
      <c r="C179" s="207" t="str">
        <f t="shared" si="51"/>
        <v/>
      </c>
      <c r="D179" s="207" t="str">
        <f t="shared" si="52"/>
        <v/>
      </c>
      <c r="E179" s="234" t="str">
        <f t="shared" si="53"/>
        <v/>
      </c>
      <c r="F179" s="206">
        <f t="shared" ca="1" si="67"/>
        <v>7.62170640603273E-2</v>
      </c>
      <c r="G179" s="207" t="str">
        <f t="shared" si="54"/>
        <v/>
      </c>
      <c r="H179" s="207" t="str">
        <f t="shared" si="55"/>
        <v/>
      </c>
      <c r="I179" s="234" t="str">
        <f t="shared" si="56"/>
        <v/>
      </c>
      <c r="J179" s="601" t="str">
        <f t="shared" ca="1" si="57"/>
        <v/>
      </c>
      <c r="K179" s="232" t="str">
        <f t="shared" si="58"/>
        <v/>
      </c>
      <c r="L179" s="232" t="str">
        <f t="shared" si="59"/>
        <v/>
      </c>
      <c r="M179" s="207" t="str">
        <f t="shared" si="60"/>
        <v/>
      </c>
      <c r="N179" s="235" t="str">
        <f t="shared" si="61"/>
        <v/>
      </c>
      <c r="O179" s="240"/>
      <c r="P179" s="229">
        <f t="shared" ca="1" si="68"/>
        <v>3.7553365687528865E-2</v>
      </c>
      <c r="Q179" s="229">
        <f t="shared" ca="1" si="69"/>
        <v>2.6622136019508846E-4</v>
      </c>
      <c r="R179" s="229" t="str">
        <f t="shared" si="62"/>
        <v/>
      </c>
      <c r="S179" s="239"/>
      <c r="T179" s="229" t="str">
        <f t="shared" si="63"/>
        <v/>
      </c>
      <c r="U179" s="229" t="str">
        <f t="shared" si="64"/>
        <v/>
      </c>
      <c r="V179" s="229" t="str">
        <f t="shared" si="65"/>
        <v/>
      </c>
    </row>
    <row r="180" spans="1:22" ht="15" customHeight="1" x14ac:dyDescent="0.25">
      <c r="A180" s="205">
        <f t="shared" si="50"/>
        <v>2078</v>
      </c>
      <c r="B180" s="207">
        <f t="shared" ca="1" si="66"/>
        <v>1.8205910484878653</v>
      </c>
      <c r="C180" s="207" t="str">
        <f t="shared" si="51"/>
        <v/>
      </c>
      <c r="D180" s="207" t="str">
        <f t="shared" si="52"/>
        <v/>
      </c>
      <c r="E180" s="234" t="str">
        <f t="shared" si="53"/>
        <v/>
      </c>
      <c r="F180" s="206">
        <f t="shared" ca="1" si="67"/>
        <v>7.6208444496076014E-2</v>
      </c>
      <c r="G180" s="207" t="str">
        <f t="shared" si="54"/>
        <v/>
      </c>
      <c r="H180" s="207" t="str">
        <f t="shared" si="55"/>
        <v/>
      </c>
      <c r="I180" s="234" t="str">
        <f t="shared" si="56"/>
        <v/>
      </c>
      <c r="J180" s="601" t="str">
        <f t="shared" ca="1" si="57"/>
        <v/>
      </c>
      <c r="K180" s="232" t="str">
        <f t="shared" si="58"/>
        <v/>
      </c>
      <c r="L180" s="232" t="str">
        <f t="shared" si="59"/>
        <v/>
      </c>
      <c r="M180" s="207" t="str">
        <f t="shared" si="60"/>
        <v/>
      </c>
      <c r="N180" s="235" t="str">
        <f t="shared" si="61"/>
        <v/>
      </c>
      <c r="O180" s="240"/>
      <c r="P180" s="229">
        <f t="shared" ca="1" si="68"/>
        <v>3.7553365687528865E-2</v>
      </c>
      <c r="Q180" s="229">
        <f t="shared" ca="1" si="69"/>
        <v>2.6622136019508846E-4</v>
      </c>
      <c r="R180" s="229" t="str">
        <f t="shared" si="62"/>
        <v/>
      </c>
      <c r="S180" s="239"/>
      <c r="T180" s="229" t="str">
        <f t="shared" si="63"/>
        <v/>
      </c>
      <c r="U180" s="229" t="str">
        <f t="shared" si="64"/>
        <v/>
      </c>
      <c r="V180" s="229" t="str">
        <f t="shared" si="65"/>
        <v/>
      </c>
    </row>
    <row r="181" spans="1:22" ht="15" customHeight="1" x14ac:dyDescent="0.25">
      <c r="A181" s="205">
        <f t="shared" si="50"/>
        <v>2079</v>
      </c>
      <c r="B181" s="207">
        <f t="shared" ca="1" si="66"/>
        <v>1.8244760591412124</v>
      </c>
      <c r="C181" s="207" t="str">
        <f t="shared" si="51"/>
        <v/>
      </c>
      <c r="D181" s="207" t="str">
        <f t="shared" si="52"/>
        <v/>
      </c>
      <c r="E181" s="234" t="str">
        <f t="shared" si="53"/>
        <v/>
      </c>
      <c r="F181" s="206">
        <f t="shared" ca="1" si="67"/>
        <v>7.6199825906631213E-2</v>
      </c>
      <c r="G181" s="207" t="str">
        <f t="shared" si="54"/>
        <v/>
      </c>
      <c r="H181" s="207" t="str">
        <f t="shared" si="55"/>
        <v/>
      </c>
      <c r="I181" s="234" t="str">
        <f t="shared" si="56"/>
        <v/>
      </c>
      <c r="J181" s="601" t="str">
        <f t="shared" ca="1" si="57"/>
        <v/>
      </c>
      <c r="K181" s="232" t="str">
        <f t="shared" si="58"/>
        <v/>
      </c>
      <c r="L181" s="232" t="str">
        <f t="shared" si="59"/>
        <v/>
      </c>
      <c r="M181" s="207" t="str">
        <f t="shared" si="60"/>
        <v/>
      </c>
      <c r="N181" s="235" t="str">
        <f t="shared" si="61"/>
        <v/>
      </c>
      <c r="O181" s="240"/>
      <c r="P181" s="229">
        <f t="shared" ca="1" si="68"/>
        <v>3.7553365687528865E-2</v>
      </c>
      <c r="Q181" s="229">
        <f t="shared" ca="1" si="69"/>
        <v>2.6622136019508846E-4</v>
      </c>
      <c r="R181" s="229" t="str">
        <f t="shared" si="62"/>
        <v/>
      </c>
      <c r="S181" s="239"/>
      <c r="T181" s="229" t="str">
        <f t="shared" si="63"/>
        <v/>
      </c>
      <c r="U181" s="229" t="str">
        <f t="shared" si="64"/>
        <v/>
      </c>
      <c r="V181" s="229" t="str">
        <f t="shared" si="65"/>
        <v/>
      </c>
    </row>
    <row r="182" spans="1:22" ht="15" customHeight="1" thickBot="1" x14ac:dyDescent="0.3">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1"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 thickBot="1" x14ac:dyDescent="0.3">
      <c r="A184" s="1082" t="s">
        <v>1188</v>
      </c>
    </row>
    <row r="185" spans="1:22" ht="26.5" thickTop="1" x14ac:dyDescent="0.3">
      <c r="A185" s="204" t="s">
        <v>1034</v>
      </c>
      <c r="B185" s="237" t="str">
        <f>IF(B$131="","",B$131&amp;" ($/year)")</f>
        <v>Industrial Natural Gas ($/year)</v>
      </c>
      <c r="C185" s="237" t="str">
        <f t="shared" ref="C185:N185" si="70">IF(C$131="","",C$131&amp;" ($/year)")</f>
        <v/>
      </c>
      <c r="D185" s="237" t="str">
        <f t="shared" si="70"/>
        <v/>
      </c>
      <c r="E185" s="237" t="str">
        <f t="shared" si="70"/>
        <v/>
      </c>
      <c r="F185" s="237" t="str">
        <f t="shared" si="70"/>
        <v>Industrial Electricity ($/year)</v>
      </c>
      <c r="G185" s="237" t="str">
        <f t="shared" si="70"/>
        <v/>
      </c>
      <c r="H185" s="237" t="str">
        <f t="shared" si="70"/>
        <v/>
      </c>
      <c r="I185" s="596" t="str">
        <f t="shared" si="70"/>
        <v/>
      </c>
      <c r="J185" s="237" t="str">
        <f t="shared" ca="1" si="70"/>
        <v/>
      </c>
      <c r="K185" s="237" t="str">
        <f t="shared" si="70"/>
        <v/>
      </c>
      <c r="L185" s="237" t="str">
        <f t="shared" si="70"/>
        <v/>
      </c>
      <c r="M185" s="237" t="str">
        <f t="shared" si="70"/>
        <v/>
      </c>
      <c r="N185" s="237" t="str">
        <f t="shared" si="70"/>
        <v/>
      </c>
    </row>
    <row r="186" spans="1:22" x14ac:dyDescent="0.25">
      <c r="A186" s="205">
        <f>+A139</f>
        <v>2037</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1">
        <f t="shared" si="71"/>
        <v>0</v>
      </c>
      <c r="K186" s="232">
        <f t="shared" si="71"/>
        <v>0</v>
      </c>
      <c r="L186" s="232">
        <f t="shared" si="71"/>
        <v>0</v>
      </c>
      <c r="M186" s="207">
        <f t="shared" si="71"/>
        <v>0</v>
      </c>
      <c r="N186" s="235">
        <f t="shared" si="71"/>
        <v>0</v>
      </c>
    </row>
    <row r="187" spans="1:22" x14ac:dyDescent="0.25">
      <c r="A187" s="205">
        <f t="shared" ref="A187:A229" si="72">+A140</f>
        <v>2038</v>
      </c>
      <c r="B187" s="207">
        <f t="shared" ref="B187:N187" si="73">IF($C66="","",IF($C66&lt;0,0,IF(AND($C66=1,start_time&lt;1),-(SUM(B140)*output_kgyear*$E66*percnt_var*start_time+SUM(B140)*output_kgyear*$E66*(1-start_time)),IF($C66&lt;=start_time,-SUM(B140)*output_kgyear*$E66*percnt_var,-SUM(B140)*output_kgyear*$E66))))</f>
        <v>0</v>
      </c>
      <c r="C187" s="207">
        <f t="shared" si="73"/>
        <v>0</v>
      </c>
      <c r="D187" s="207">
        <f t="shared" si="73"/>
        <v>0</v>
      </c>
      <c r="E187" s="234">
        <f t="shared" si="73"/>
        <v>0</v>
      </c>
      <c r="F187" s="206">
        <f t="shared" si="73"/>
        <v>0</v>
      </c>
      <c r="G187" s="207">
        <f t="shared" si="73"/>
        <v>0</v>
      </c>
      <c r="H187" s="207">
        <f t="shared" si="73"/>
        <v>0</v>
      </c>
      <c r="I187" s="234">
        <f t="shared" si="73"/>
        <v>0</v>
      </c>
      <c r="J187" s="601">
        <f t="shared" si="73"/>
        <v>0</v>
      </c>
      <c r="K187" s="232">
        <f t="shared" si="73"/>
        <v>0</v>
      </c>
      <c r="L187" s="232">
        <f t="shared" si="73"/>
        <v>0</v>
      </c>
      <c r="M187" s="207">
        <f t="shared" si="73"/>
        <v>0</v>
      </c>
      <c r="N187" s="235">
        <f t="shared" si="73"/>
        <v>0</v>
      </c>
    </row>
    <row r="188" spans="1:22" x14ac:dyDescent="0.25">
      <c r="A188" s="205">
        <f t="shared" si="72"/>
        <v>2039</v>
      </c>
      <c r="B188" s="207">
        <f t="shared" ref="B188:N188" si="74">IF($C67="","",IF($C67&lt;0,0,IF(AND($C67=1,start_time&lt;1),-(SUM(B141)*output_kgyear*$E67*percnt_var*start_time+SUM(B141)*output_kgyear*$E67*(1-start_time)),IF($C67&lt;=start_time,-SUM(B141)*output_kgyear*$E67*percnt_var,-SUM(B141)*output_kgyear*$E67))))</f>
        <v>0</v>
      </c>
      <c r="C188" s="207">
        <f t="shared" si="74"/>
        <v>0</v>
      </c>
      <c r="D188" s="207">
        <f t="shared" si="74"/>
        <v>0</v>
      </c>
      <c r="E188" s="234">
        <f t="shared" si="74"/>
        <v>0</v>
      </c>
      <c r="F188" s="206">
        <f t="shared" si="74"/>
        <v>0</v>
      </c>
      <c r="G188" s="207">
        <f t="shared" si="74"/>
        <v>0</v>
      </c>
      <c r="H188" s="207">
        <f t="shared" si="74"/>
        <v>0</v>
      </c>
      <c r="I188" s="234">
        <f t="shared" si="74"/>
        <v>0</v>
      </c>
      <c r="J188" s="601">
        <f t="shared" si="74"/>
        <v>0</v>
      </c>
      <c r="K188" s="232">
        <f t="shared" si="74"/>
        <v>0</v>
      </c>
      <c r="L188" s="232">
        <f t="shared" si="74"/>
        <v>0</v>
      </c>
      <c r="M188" s="207">
        <f t="shared" si="74"/>
        <v>0</v>
      </c>
      <c r="N188" s="235">
        <f t="shared" si="74"/>
        <v>0</v>
      </c>
    </row>
    <row r="189" spans="1:22" x14ac:dyDescent="0.25">
      <c r="A189" s="205">
        <f t="shared" si="72"/>
        <v>2040</v>
      </c>
      <c r="B189" s="207">
        <f t="shared" ref="B189:N189" ca="1" si="75">IF($C68="","",IF($C68&lt;0,0,IF(AND($C68=1,start_time&lt;1),-(SUM(B142)*output_kgyear*$E68*percnt_var*start_time+SUM(B142)*output_kgyear*$E68*(1-start_time)),IF($C68&lt;=start_time,-SUM(B142)*output_kgyear*$E68*percnt_var,-SUM(B142)*output_kgyear*$E68))))</f>
        <v>-135859838.0960815</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-6836842.0487984661</v>
      </c>
      <c r="G189" s="207">
        <f t="shared" ca="1" si="75"/>
        <v>0</v>
      </c>
      <c r="H189" s="207">
        <f t="shared" ca="1" si="75"/>
        <v>0</v>
      </c>
      <c r="I189" s="234">
        <f t="shared" ca="1" si="75"/>
        <v>0</v>
      </c>
      <c r="J189" s="601">
        <f t="shared" ca="1" si="75"/>
        <v>0</v>
      </c>
      <c r="K189" s="232">
        <f t="shared" ca="1" si="75"/>
        <v>0</v>
      </c>
      <c r="L189" s="232">
        <f t="shared" ca="1" si="75"/>
        <v>0</v>
      </c>
      <c r="M189" s="207">
        <f t="shared" ca="1" si="75"/>
        <v>0</v>
      </c>
      <c r="N189" s="235">
        <f t="shared" ca="1" si="75"/>
        <v>0</v>
      </c>
    </row>
    <row r="190" spans="1:22" x14ac:dyDescent="0.25">
      <c r="A190" s="205">
        <f t="shared" si="72"/>
        <v>2041</v>
      </c>
      <c r="B190" s="207">
        <f t="shared" ref="B190:N190" ca="1" si="76">IF($C69="","",IF($C69&lt;0,0,IF(AND($C69=1,start_time&lt;1),-(SUM(B143)*output_kgyear*$E69*percnt_var*start_time+SUM(B143)*output_kgyear*$E69*(1-start_time)),IF($C69&lt;=start_time,-SUM(B143)*output_kgyear*$E69*percnt_var,-SUM(B143)*output_kgyear*$E69))))</f>
        <v>-184737527.81711566</v>
      </c>
      <c r="C190" s="207">
        <f t="shared" ca="1" si="76"/>
        <v>0</v>
      </c>
      <c r="D190" s="207">
        <f t="shared" ca="1" si="76"/>
        <v>0</v>
      </c>
      <c r="E190" s="234">
        <f t="shared" ca="1" si="76"/>
        <v>0</v>
      </c>
      <c r="F190" s="206">
        <f t="shared" ca="1" si="76"/>
        <v>-9261671.1128832698</v>
      </c>
      <c r="G190" s="207">
        <f t="shared" ca="1" si="76"/>
        <v>0</v>
      </c>
      <c r="H190" s="207">
        <f t="shared" ca="1" si="76"/>
        <v>0</v>
      </c>
      <c r="I190" s="234">
        <f t="shared" ca="1" si="76"/>
        <v>0</v>
      </c>
      <c r="J190" s="601">
        <f t="shared" ca="1" si="76"/>
        <v>0</v>
      </c>
      <c r="K190" s="232">
        <f t="shared" ca="1" si="76"/>
        <v>0</v>
      </c>
      <c r="L190" s="232">
        <f t="shared" ca="1" si="76"/>
        <v>0</v>
      </c>
      <c r="M190" s="207">
        <f t="shared" ca="1" si="76"/>
        <v>0</v>
      </c>
      <c r="N190" s="235">
        <f t="shared" ca="1" si="76"/>
        <v>0</v>
      </c>
    </row>
    <row r="191" spans="1:22" x14ac:dyDescent="0.25">
      <c r="A191" s="205">
        <f t="shared" si="72"/>
        <v>2042</v>
      </c>
      <c r="B191" s="207">
        <f t="shared" ref="B191:N191" ca="1" si="77">IF($C70="","",IF($C70&lt;0,0,IF(AND($C70=1,start_time&lt;1),-(SUM(B144)*output_kgyear*$E70*percnt_var*start_time+SUM(B144)*output_kgyear*$E70*(1-start_time)),IF($C70&lt;=start_time,-SUM(B144)*output_kgyear*$E70*percnt_var,-SUM(B144)*output_kgyear*$E70))))</f>
        <v>-190060079.10096556</v>
      </c>
      <c r="C191" s="207">
        <f t="shared" ca="1" si="77"/>
        <v>0</v>
      </c>
      <c r="D191" s="207">
        <f t="shared" ca="1" si="77"/>
        <v>0</v>
      </c>
      <c r="E191" s="234">
        <f t="shared" ca="1" si="77"/>
        <v>0</v>
      </c>
      <c r="F191" s="206">
        <f t="shared" ca="1" si="77"/>
        <v>-9448589.0816480182</v>
      </c>
      <c r="G191" s="207">
        <f t="shared" ca="1" si="77"/>
        <v>0</v>
      </c>
      <c r="H191" s="207">
        <f t="shared" ca="1" si="77"/>
        <v>0</v>
      </c>
      <c r="I191" s="234">
        <f t="shared" ca="1" si="77"/>
        <v>0</v>
      </c>
      <c r="J191" s="601">
        <f t="shared" ca="1" si="77"/>
        <v>0</v>
      </c>
      <c r="K191" s="232">
        <f t="shared" ca="1" si="77"/>
        <v>0</v>
      </c>
      <c r="L191" s="232">
        <f t="shared" ca="1" si="77"/>
        <v>0</v>
      </c>
      <c r="M191" s="207">
        <f t="shared" ca="1" si="77"/>
        <v>0</v>
      </c>
      <c r="N191" s="235">
        <f t="shared" ca="1" si="77"/>
        <v>0</v>
      </c>
    </row>
    <row r="192" spans="1:22" x14ac:dyDescent="0.25">
      <c r="A192" s="205">
        <f t="shared" si="72"/>
        <v>2043</v>
      </c>
      <c r="B192" s="207">
        <f t="shared" ref="B192:N192" ca="1" si="78">IF($C71="","",IF($C71&lt;0,0,IF(AND($C71=1,start_time&lt;1),-(SUM(B145)*output_kgyear*$E71*percnt_var*start_time+SUM(B145)*output_kgyear*$E71*(1-start_time)),IF($C71&lt;=start_time,-SUM(B145)*output_kgyear*$E71*percnt_var,-SUM(B145)*output_kgyear*$E71))))</f>
        <v>-196498255.10182351</v>
      </c>
      <c r="C192" s="207">
        <f t="shared" ca="1" si="78"/>
        <v>0</v>
      </c>
      <c r="D192" s="207">
        <f t="shared" ca="1" si="78"/>
        <v>0</v>
      </c>
      <c r="E192" s="234">
        <f t="shared" ca="1" si="78"/>
        <v>0</v>
      </c>
      <c r="F192" s="206">
        <f t="shared" ca="1" si="78"/>
        <v>-9657495.1546699721</v>
      </c>
      <c r="G192" s="207">
        <f t="shared" ca="1" si="78"/>
        <v>0</v>
      </c>
      <c r="H192" s="207">
        <f t="shared" ca="1" si="78"/>
        <v>0</v>
      </c>
      <c r="I192" s="234">
        <f t="shared" ca="1" si="78"/>
        <v>0</v>
      </c>
      <c r="J192" s="601">
        <f t="shared" ca="1" si="78"/>
        <v>0</v>
      </c>
      <c r="K192" s="232">
        <f t="shared" ca="1" si="78"/>
        <v>0</v>
      </c>
      <c r="L192" s="232">
        <f t="shared" ca="1" si="78"/>
        <v>0</v>
      </c>
      <c r="M192" s="207">
        <f t="shared" ca="1" si="78"/>
        <v>0</v>
      </c>
      <c r="N192" s="235">
        <f t="shared" ca="1" si="78"/>
        <v>0</v>
      </c>
    </row>
    <row r="193" spans="1:14" x14ac:dyDescent="0.25">
      <c r="A193" s="205">
        <f t="shared" si="72"/>
        <v>2044</v>
      </c>
      <c r="B193" s="207">
        <f t="shared" ref="B193:N193" ca="1" si="79">IF($C72="","",IF($C72&lt;0,0,IF(AND($C72=1,start_time&lt;1),-(SUM(B146)*output_kgyear*$E72*percnt_var*start_time+SUM(B146)*output_kgyear*$E72*(1-start_time)),IF($C72&lt;=start_time,-SUM(B146)*output_kgyear*$E72*percnt_var,-SUM(B146)*output_kgyear*$E72))))</f>
        <v>-202206160.65225136</v>
      </c>
      <c r="C193" s="207">
        <f t="shared" ca="1" si="79"/>
        <v>0</v>
      </c>
      <c r="D193" s="207">
        <f t="shared" ca="1" si="79"/>
        <v>0</v>
      </c>
      <c r="E193" s="234">
        <f t="shared" ca="1" si="79"/>
        <v>0</v>
      </c>
      <c r="F193" s="206">
        <f t="shared" ca="1" si="79"/>
        <v>-9878067.175333498</v>
      </c>
      <c r="G193" s="207">
        <f t="shared" ca="1" si="79"/>
        <v>0</v>
      </c>
      <c r="H193" s="207">
        <f t="shared" ca="1" si="79"/>
        <v>0</v>
      </c>
      <c r="I193" s="234">
        <f t="shared" ca="1" si="79"/>
        <v>0</v>
      </c>
      <c r="J193" s="601">
        <f t="shared" ca="1" si="79"/>
        <v>0</v>
      </c>
      <c r="K193" s="232">
        <f t="shared" ca="1" si="79"/>
        <v>0</v>
      </c>
      <c r="L193" s="232">
        <f t="shared" ca="1" si="79"/>
        <v>0</v>
      </c>
      <c r="M193" s="207">
        <f t="shared" ca="1" si="79"/>
        <v>0</v>
      </c>
      <c r="N193" s="235">
        <f t="shared" ca="1" si="79"/>
        <v>0</v>
      </c>
    </row>
    <row r="194" spans="1:14" x14ac:dyDescent="0.25">
      <c r="A194" s="205">
        <f t="shared" si="72"/>
        <v>2045</v>
      </c>
      <c r="B194" s="207">
        <f t="shared" ref="B194:N194" ca="1" si="80">IF($C73="","",IF($C73&lt;0,0,IF(AND($C73=1,start_time&lt;1),-(SUM(B147)*output_kgyear*$E73*percnt_var*start_time+SUM(B147)*output_kgyear*$E73*(1-start_time)),IF($C73&lt;=start_time,-SUM(B147)*output_kgyear*$E73*percnt_var,-SUM(B147)*output_kgyear*$E73))))</f>
        <v>-208693870.78071338</v>
      </c>
      <c r="C194" s="207">
        <f t="shared" ca="1" si="80"/>
        <v>0</v>
      </c>
      <c r="D194" s="207">
        <f t="shared" ca="1" si="80"/>
        <v>0</v>
      </c>
      <c r="E194" s="234">
        <f t="shared" ca="1" si="80"/>
        <v>0</v>
      </c>
      <c r="F194" s="206">
        <f t="shared" ca="1" si="80"/>
        <v>-10102520.335633656</v>
      </c>
      <c r="G194" s="207">
        <f t="shared" ca="1" si="80"/>
        <v>0</v>
      </c>
      <c r="H194" s="207">
        <f t="shared" ca="1" si="80"/>
        <v>0</v>
      </c>
      <c r="I194" s="234">
        <f t="shared" ca="1" si="80"/>
        <v>0</v>
      </c>
      <c r="J194" s="601">
        <f t="shared" ca="1" si="80"/>
        <v>0</v>
      </c>
      <c r="K194" s="232">
        <f t="shared" ca="1" si="80"/>
        <v>0</v>
      </c>
      <c r="L194" s="232">
        <f t="shared" ca="1" si="80"/>
        <v>0</v>
      </c>
      <c r="M194" s="207">
        <f t="shared" ca="1" si="80"/>
        <v>0</v>
      </c>
      <c r="N194" s="235">
        <f t="shared" ca="1" si="80"/>
        <v>0</v>
      </c>
    </row>
    <row r="195" spans="1:14" x14ac:dyDescent="0.25">
      <c r="A195" s="205">
        <f t="shared" si="72"/>
        <v>2046</v>
      </c>
      <c r="B195" s="207">
        <f t="shared" ref="B195:N195" ca="1" si="81">IF($C74="","",IF($C74&lt;0,0,IF(AND($C74=1,start_time&lt;1),-(SUM(B148)*output_kgyear*$E74*percnt_var*start_time+SUM(B148)*output_kgyear*$E74*(1-start_time)),IF($C74&lt;=start_time,-SUM(B148)*output_kgyear*$E74*percnt_var,-SUM(B148)*output_kgyear*$E74))))</f>
        <v>-214720108.0384182</v>
      </c>
      <c r="C195" s="207">
        <f t="shared" ca="1" si="81"/>
        <v>0</v>
      </c>
      <c r="D195" s="207">
        <f t="shared" ca="1" si="81"/>
        <v>0</v>
      </c>
      <c r="E195" s="234">
        <f t="shared" ca="1" si="81"/>
        <v>0</v>
      </c>
      <c r="F195" s="206">
        <f t="shared" ca="1" si="81"/>
        <v>-10332562.764698982</v>
      </c>
      <c r="G195" s="207">
        <f t="shared" ca="1" si="81"/>
        <v>0</v>
      </c>
      <c r="H195" s="207">
        <f t="shared" ca="1" si="81"/>
        <v>0</v>
      </c>
      <c r="I195" s="234">
        <f t="shared" ca="1" si="81"/>
        <v>0</v>
      </c>
      <c r="J195" s="601">
        <f t="shared" ca="1" si="81"/>
        <v>0</v>
      </c>
      <c r="K195" s="232">
        <f t="shared" ca="1" si="81"/>
        <v>0</v>
      </c>
      <c r="L195" s="232">
        <f t="shared" ca="1" si="81"/>
        <v>0</v>
      </c>
      <c r="M195" s="207">
        <f t="shared" ca="1" si="81"/>
        <v>0</v>
      </c>
      <c r="N195" s="235">
        <f t="shared" ca="1" si="81"/>
        <v>0</v>
      </c>
    </row>
    <row r="196" spans="1:14" x14ac:dyDescent="0.25">
      <c r="A196" s="205">
        <f t="shared" si="72"/>
        <v>2047</v>
      </c>
      <c r="B196" s="207">
        <f t="shared" ref="B196:N196" ca="1" si="82">IF($C75="","",IF($C75&lt;0,0,IF(AND($C75=1,start_time&lt;1),-(SUM(B149)*output_kgyear*$E75*percnt_var*start_time+SUM(B149)*output_kgyear*$E75*(1-start_time)),IF($C75&lt;=start_time,-SUM(B149)*output_kgyear*$E75*percnt_var,-SUM(B149)*output_kgyear*$E75))))</f>
        <v>-221103418.91142574</v>
      </c>
      <c r="C196" s="207">
        <f t="shared" ca="1" si="82"/>
        <v>0</v>
      </c>
      <c r="D196" s="207">
        <f t="shared" ca="1" si="82"/>
        <v>0</v>
      </c>
      <c r="E196" s="234">
        <f t="shared" ca="1" si="82"/>
        <v>0</v>
      </c>
      <c r="F196" s="206">
        <f t="shared" ca="1" si="82"/>
        <v>-10563715.848516408</v>
      </c>
      <c r="G196" s="207">
        <f t="shared" ca="1" si="82"/>
        <v>0</v>
      </c>
      <c r="H196" s="207">
        <f t="shared" ca="1" si="82"/>
        <v>0</v>
      </c>
      <c r="I196" s="234">
        <f t="shared" ca="1" si="82"/>
        <v>0</v>
      </c>
      <c r="J196" s="601">
        <f t="shared" ca="1" si="82"/>
        <v>0</v>
      </c>
      <c r="K196" s="232">
        <f t="shared" ca="1" si="82"/>
        <v>0</v>
      </c>
      <c r="L196" s="232">
        <f t="shared" ca="1" si="82"/>
        <v>0</v>
      </c>
      <c r="M196" s="207">
        <f t="shared" ca="1" si="82"/>
        <v>0</v>
      </c>
      <c r="N196" s="235">
        <f t="shared" ca="1" si="82"/>
        <v>0</v>
      </c>
    </row>
    <row r="197" spans="1:14" x14ac:dyDescent="0.25">
      <c r="A197" s="205">
        <f t="shared" si="72"/>
        <v>2048</v>
      </c>
      <c r="B197" s="207">
        <f t="shared" ref="B197:N197" ca="1" si="83">IF($C76="","",IF($C76&lt;0,0,IF(AND($C76=1,start_time&lt;1),-(SUM(B150)*output_kgyear*$E76*percnt_var*start_time+SUM(B150)*output_kgyear*$E76*(1-start_time)),IF($C76&lt;=start_time,-SUM(B150)*output_kgyear*$E76*percnt_var,-SUM(B150)*output_kgyear*$E76))))</f>
        <v>-229434112.4694275</v>
      </c>
      <c r="C197" s="207">
        <f t="shared" ca="1" si="83"/>
        <v>0</v>
      </c>
      <c r="D197" s="207">
        <f t="shared" ca="1" si="83"/>
        <v>0</v>
      </c>
      <c r="E197" s="234">
        <f t="shared" ca="1" si="83"/>
        <v>0</v>
      </c>
      <c r="F197" s="206">
        <f t="shared" ca="1" si="83"/>
        <v>-10804354.657387506</v>
      </c>
      <c r="G197" s="207">
        <f t="shared" ca="1" si="83"/>
        <v>0</v>
      </c>
      <c r="H197" s="207">
        <f t="shared" ca="1" si="83"/>
        <v>0</v>
      </c>
      <c r="I197" s="234">
        <f t="shared" ca="1" si="83"/>
        <v>0</v>
      </c>
      <c r="J197" s="601">
        <f t="shared" ca="1" si="83"/>
        <v>0</v>
      </c>
      <c r="K197" s="232">
        <f t="shared" ca="1" si="83"/>
        <v>0</v>
      </c>
      <c r="L197" s="232">
        <f t="shared" ca="1" si="83"/>
        <v>0</v>
      </c>
      <c r="M197" s="207">
        <f t="shared" ca="1" si="83"/>
        <v>0</v>
      </c>
      <c r="N197" s="235">
        <f t="shared" ca="1" si="83"/>
        <v>0</v>
      </c>
    </row>
    <row r="198" spans="1:14" x14ac:dyDescent="0.25">
      <c r="A198" s="205">
        <f t="shared" si="72"/>
        <v>2049</v>
      </c>
      <c r="B198" s="207">
        <f t="shared" ref="B198:N198" ca="1" si="84">IF($C77="","",IF($C77&lt;0,0,IF(AND($C77=1,start_time&lt;1),-(SUM(B151)*output_kgyear*$E77*percnt_var*start_time+SUM(B151)*output_kgyear*$E77*(1-start_time)),IF($C77&lt;=start_time,-SUM(B151)*output_kgyear*$E77*percnt_var,-SUM(B151)*output_kgyear*$E77))))</f>
        <v>-235162589.1604614</v>
      </c>
      <c r="C198" s="207">
        <f t="shared" ca="1" si="84"/>
        <v>0</v>
      </c>
      <c r="D198" s="207">
        <f t="shared" ca="1" si="84"/>
        <v>0</v>
      </c>
      <c r="E198" s="234">
        <f t="shared" ca="1" si="84"/>
        <v>0</v>
      </c>
      <c r="F198" s="206">
        <f t="shared" ca="1" si="84"/>
        <v>-11044888.31087382</v>
      </c>
      <c r="G198" s="207">
        <f t="shared" ca="1" si="84"/>
        <v>0</v>
      </c>
      <c r="H198" s="207">
        <f t="shared" ca="1" si="84"/>
        <v>0</v>
      </c>
      <c r="I198" s="234">
        <f t="shared" ca="1" si="84"/>
        <v>0</v>
      </c>
      <c r="J198" s="601">
        <f t="shared" ca="1" si="84"/>
        <v>0</v>
      </c>
      <c r="K198" s="232">
        <f t="shared" ca="1" si="84"/>
        <v>0</v>
      </c>
      <c r="L198" s="232">
        <f t="shared" ca="1" si="84"/>
        <v>0</v>
      </c>
      <c r="M198" s="207">
        <f t="shared" ca="1" si="84"/>
        <v>0</v>
      </c>
      <c r="N198" s="235">
        <f t="shared" ca="1" si="84"/>
        <v>0</v>
      </c>
    </row>
    <row r="199" spans="1:14" x14ac:dyDescent="0.25">
      <c r="A199" s="205">
        <f t="shared" si="72"/>
        <v>2050</v>
      </c>
      <c r="B199" s="207">
        <f t="shared" ref="B199:N199" ca="1" si="85">IF($C78="","",IF($C78&lt;0,0,IF(AND($C78=1,start_time&lt;1),-(SUM(B152)*output_kgyear*$E78*percnt_var*start_time+SUM(B152)*output_kgyear*$E78*(1-start_time)),IF($C78&lt;=start_time,-SUM(B152)*output_kgyear*$E78*percnt_var,-SUM(B152)*output_kgyear*$E78))))</f>
        <v>-242664711.69360712</v>
      </c>
      <c r="C199" s="207">
        <f t="shared" ca="1" si="85"/>
        <v>0</v>
      </c>
      <c r="D199" s="207">
        <f t="shared" ca="1" si="85"/>
        <v>0</v>
      </c>
      <c r="E199" s="234">
        <f t="shared" ca="1" si="85"/>
        <v>0</v>
      </c>
      <c r="F199" s="206">
        <f t="shared" ca="1" si="85"/>
        <v>-11289565.447951138</v>
      </c>
      <c r="G199" s="207">
        <f t="shared" ca="1" si="85"/>
        <v>0</v>
      </c>
      <c r="H199" s="207">
        <f t="shared" ca="1" si="85"/>
        <v>0</v>
      </c>
      <c r="I199" s="234">
        <f t="shared" ca="1" si="85"/>
        <v>0</v>
      </c>
      <c r="J199" s="601">
        <f t="shared" ca="1" si="85"/>
        <v>0</v>
      </c>
      <c r="K199" s="232">
        <f t="shared" ca="1" si="85"/>
        <v>0</v>
      </c>
      <c r="L199" s="232">
        <f t="shared" ca="1" si="85"/>
        <v>0</v>
      </c>
      <c r="M199" s="207">
        <f t="shared" ca="1" si="85"/>
        <v>0</v>
      </c>
      <c r="N199" s="235">
        <f t="shared" ca="1" si="85"/>
        <v>0</v>
      </c>
    </row>
    <row r="200" spans="1:14" x14ac:dyDescent="0.25">
      <c r="A200" s="205">
        <f t="shared" si="72"/>
        <v>2051</v>
      </c>
      <c r="B200" s="207">
        <f t="shared" ref="B200:N200" ca="1" si="86">IF($C79="","",IF($C79&lt;0,0,IF(AND($C79=1,start_time&lt;1),-(SUM(B153)*output_kgyear*$E79*percnt_var*start_time+SUM(B153)*output_kgyear*$E79*(1-start_time)),IF($C79&lt;=start_time,-SUM(B153)*output_kgyear*$E79*percnt_var,-SUM(B153)*output_kgyear*$E79))))</f>
        <v>-248650029.24240986</v>
      </c>
      <c r="C200" s="207">
        <f t="shared" ca="1" si="86"/>
        <v>0</v>
      </c>
      <c r="D200" s="207">
        <f t="shared" ca="1" si="86"/>
        <v>0</v>
      </c>
      <c r="E200" s="234">
        <f t="shared" ca="1" si="86"/>
        <v>0</v>
      </c>
      <c r="F200" s="206">
        <f t="shared" ca="1" si="86"/>
        <v>-11514500.867380448</v>
      </c>
      <c r="G200" s="207">
        <f t="shared" ca="1" si="86"/>
        <v>0</v>
      </c>
      <c r="H200" s="207">
        <f t="shared" ca="1" si="86"/>
        <v>0</v>
      </c>
      <c r="I200" s="234">
        <f t="shared" ca="1" si="86"/>
        <v>0</v>
      </c>
      <c r="J200" s="601">
        <f t="shared" ca="1" si="86"/>
        <v>0</v>
      </c>
      <c r="K200" s="232">
        <f t="shared" ca="1" si="86"/>
        <v>0</v>
      </c>
      <c r="L200" s="232">
        <f t="shared" ca="1" si="86"/>
        <v>0</v>
      </c>
      <c r="M200" s="207">
        <f t="shared" ca="1" si="86"/>
        <v>0</v>
      </c>
      <c r="N200" s="235">
        <f t="shared" ca="1" si="86"/>
        <v>0</v>
      </c>
    </row>
    <row r="201" spans="1:14" x14ac:dyDescent="0.25">
      <c r="A201" s="205">
        <f t="shared" si="72"/>
        <v>2052</v>
      </c>
      <c r="B201" s="207">
        <f t="shared" ref="B201:N201" ca="1" si="87">IF($C80="","",IF($C80&lt;0,0,IF(AND($C80=1,start_time&lt;1),-(SUM(B154)*output_kgyear*$E80*percnt_var*start_time+SUM(B154)*output_kgyear*$E80*(1-start_time)),IF($C80&lt;=start_time,-SUM(B154)*output_kgyear*$E80*percnt_var,-SUM(B154)*output_kgyear*$E80))))</f>
        <v>-254782974.46196029</v>
      </c>
      <c r="C201" s="207">
        <f t="shared" ca="1" si="87"/>
        <v>0</v>
      </c>
      <c r="D201" s="207">
        <f t="shared" ca="1" si="87"/>
        <v>0</v>
      </c>
      <c r="E201" s="234">
        <f t="shared" ca="1" si="87"/>
        <v>0</v>
      </c>
      <c r="F201" s="206">
        <f t="shared" ca="1" si="87"/>
        <v>-11743917.942294816</v>
      </c>
      <c r="G201" s="207">
        <f t="shared" ca="1" si="87"/>
        <v>0</v>
      </c>
      <c r="H201" s="207">
        <f t="shared" ca="1" si="87"/>
        <v>0</v>
      </c>
      <c r="I201" s="234">
        <f t="shared" ca="1" si="87"/>
        <v>0</v>
      </c>
      <c r="J201" s="601">
        <f t="shared" ca="1" si="87"/>
        <v>0</v>
      </c>
      <c r="K201" s="232">
        <f t="shared" ca="1" si="87"/>
        <v>0</v>
      </c>
      <c r="L201" s="232">
        <f t="shared" ca="1" si="87"/>
        <v>0</v>
      </c>
      <c r="M201" s="207">
        <f t="shared" ca="1" si="87"/>
        <v>0</v>
      </c>
      <c r="N201" s="235">
        <f t="shared" ca="1" si="87"/>
        <v>0</v>
      </c>
    </row>
    <row r="202" spans="1:14" x14ac:dyDescent="0.25">
      <c r="A202" s="205">
        <f t="shared" si="72"/>
        <v>2053</v>
      </c>
      <c r="B202" s="207">
        <f t="shared" ref="B202:N202" ca="1" si="88">IF($C81="","",IF($C81&lt;0,0,IF(AND($C81=1,start_time&lt;1),-(SUM(B155)*output_kgyear*$E81*percnt_var*start_time+SUM(B155)*output_kgyear*$E81*(1-start_time)),IF($C81&lt;=start_time,-SUM(B155)*output_kgyear*$E81*percnt_var,-SUM(B155)*output_kgyear*$E81))))</f>
        <v>-261067188.58415514</v>
      </c>
      <c r="C202" s="207">
        <f t="shared" ca="1" si="88"/>
        <v>0</v>
      </c>
      <c r="D202" s="207">
        <f t="shared" ca="1" si="88"/>
        <v>0</v>
      </c>
      <c r="E202" s="234">
        <f t="shared" ca="1" si="88"/>
        <v>0</v>
      </c>
      <c r="F202" s="206">
        <f t="shared" ca="1" si="88"/>
        <v>-11977905.966038708</v>
      </c>
      <c r="G202" s="207">
        <f t="shared" ca="1" si="88"/>
        <v>0</v>
      </c>
      <c r="H202" s="207">
        <f t="shared" ca="1" si="88"/>
        <v>0</v>
      </c>
      <c r="I202" s="234">
        <f t="shared" ca="1" si="88"/>
        <v>0</v>
      </c>
      <c r="J202" s="601">
        <f t="shared" ca="1" si="88"/>
        <v>0</v>
      </c>
      <c r="K202" s="232">
        <f t="shared" ca="1" si="88"/>
        <v>0</v>
      </c>
      <c r="L202" s="232">
        <f t="shared" ca="1" si="88"/>
        <v>0</v>
      </c>
      <c r="M202" s="207">
        <f t="shared" ca="1" si="88"/>
        <v>0</v>
      </c>
      <c r="N202" s="235">
        <f t="shared" ca="1" si="88"/>
        <v>0</v>
      </c>
    </row>
    <row r="203" spans="1:14" x14ac:dyDescent="0.25">
      <c r="A203" s="205">
        <f t="shared" si="72"/>
        <v>2054</v>
      </c>
      <c r="B203" s="207">
        <f t="shared" ref="B203:N203" ca="1" si="89">IF($C82="","",IF($C82&lt;0,0,IF(AND($C82=1,start_time&lt;1),-(SUM(B156)*output_kgyear*$E82*percnt_var*start_time+SUM(B156)*output_kgyear*$E82*(1-start_time)),IF($C82&lt;=start_time,-SUM(B156)*output_kgyear*$E82*percnt_var,-SUM(B156)*output_kgyear*$E82))))</f>
        <v>-267506402.65176243</v>
      </c>
      <c r="C203" s="207">
        <f t="shared" ca="1" si="89"/>
        <v>0</v>
      </c>
      <c r="D203" s="207">
        <f t="shared" ca="1" si="89"/>
        <v>0</v>
      </c>
      <c r="E203" s="234">
        <f t="shared" ca="1" si="89"/>
        <v>0</v>
      </c>
      <c r="F203" s="206">
        <f t="shared" ca="1" si="89"/>
        <v>-12216556.011053924</v>
      </c>
      <c r="G203" s="207">
        <f t="shared" ca="1" si="89"/>
        <v>0</v>
      </c>
      <c r="H203" s="207">
        <f t="shared" ca="1" si="89"/>
        <v>0</v>
      </c>
      <c r="I203" s="234">
        <f t="shared" ca="1" si="89"/>
        <v>0</v>
      </c>
      <c r="J203" s="601">
        <f t="shared" ca="1" si="89"/>
        <v>0</v>
      </c>
      <c r="K203" s="232">
        <f t="shared" ca="1" si="89"/>
        <v>0</v>
      </c>
      <c r="L203" s="232">
        <f t="shared" ca="1" si="89"/>
        <v>0</v>
      </c>
      <c r="M203" s="207">
        <f t="shared" ca="1" si="89"/>
        <v>0</v>
      </c>
      <c r="N203" s="235">
        <f t="shared" ca="1" si="89"/>
        <v>0</v>
      </c>
    </row>
    <row r="204" spans="1:14" x14ac:dyDescent="0.25">
      <c r="A204" s="205">
        <f t="shared" si="72"/>
        <v>2055</v>
      </c>
      <c r="B204" s="207">
        <f t="shared" ref="B204:N204" ca="1" si="90">IF($C83="","",IF($C83&lt;0,0,IF(AND($C83=1,start_time&lt;1),-(SUM(B157)*output_kgyear*$E83*percnt_var*start_time+SUM(B157)*output_kgyear*$E83*(1-start_time)),IF($C83&lt;=start_time,-SUM(B157)*output_kgyear*$E83*percnt_var,-SUM(B157)*output_kgyear*$E83))))</f>
        <v>-274104439.73360342</v>
      </c>
      <c r="C204" s="207">
        <f t="shared" ca="1" si="90"/>
        <v>0</v>
      </c>
      <c r="D204" s="207">
        <f t="shared" ca="1" si="90"/>
        <v>0</v>
      </c>
      <c r="E204" s="234">
        <f t="shared" ca="1" si="90"/>
        <v>0</v>
      </c>
      <c r="F204" s="206">
        <f t="shared" ca="1" si="90"/>
        <v>-12459960.964326657</v>
      </c>
      <c r="G204" s="207">
        <f t="shared" ca="1" si="90"/>
        <v>0</v>
      </c>
      <c r="H204" s="207">
        <f t="shared" ca="1" si="90"/>
        <v>0</v>
      </c>
      <c r="I204" s="234">
        <f t="shared" ca="1" si="90"/>
        <v>0</v>
      </c>
      <c r="J204" s="601">
        <f t="shared" ca="1" si="90"/>
        <v>0</v>
      </c>
      <c r="K204" s="232">
        <f t="shared" ca="1" si="90"/>
        <v>0</v>
      </c>
      <c r="L204" s="232">
        <f t="shared" ca="1" si="90"/>
        <v>0</v>
      </c>
      <c r="M204" s="207">
        <f t="shared" ca="1" si="90"/>
        <v>0</v>
      </c>
      <c r="N204" s="235">
        <f t="shared" ca="1" si="90"/>
        <v>0</v>
      </c>
    </row>
    <row r="205" spans="1:14" x14ac:dyDescent="0.25">
      <c r="A205" s="205">
        <f t="shared" si="72"/>
        <v>2056</v>
      </c>
      <c r="B205" s="207">
        <f t="shared" ref="B205:N205" ca="1" si="91">IF($C84="","",IF($C84&lt;0,0,IF(AND($C84=1,start_time&lt;1),-(SUM(B158)*output_kgyear*$E84*percnt_var*start_time+SUM(B158)*output_kgyear*$E84*(1-start_time)),IF($C84&lt;=start_time,-SUM(B158)*output_kgyear*$E84*percnt_var,-SUM(B158)*output_kgyear*$E84))))</f>
        <v>-280811626.71614361</v>
      </c>
      <c r="C205" s="207">
        <f t="shared" ca="1" si="91"/>
        <v>0</v>
      </c>
      <c r="D205" s="207">
        <f t="shared" ca="1" si="91"/>
        <v>0</v>
      </c>
      <c r="E205" s="234">
        <f t="shared" ca="1" si="91"/>
        <v>0</v>
      </c>
      <c r="F205" s="206">
        <f t="shared" ca="1" si="91"/>
        <v>-12709342.427267255</v>
      </c>
      <c r="G205" s="207">
        <f t="shared" ca="1" si="91"/>
        <v>0</v>
      </c>
      <c r="H205" s="207">
        <f t="shared" ca="1" si="91"/>
        <v>0</v>
      </c>
      <c r="I205" s="234">
        <f t="shared" ca="1" si="91"/>
        <v>0</v>
      </c>
      <c r="J205" s="601">
        <f t="shared" ca="1" si="91"/>
        <v>0</v>
      </c>
      <c r="K205" s="232">
        <f t="shared" ca="1" si="91"/>
        <v>0</v>
      </c>
      <c r="L205" s="232">
        <f t="shared" ca="1" si="91"/>
        <v>0</v>
      </c>
      <c r="M205" s="207">
        <f t="shared" ca="1" si="91"/>
        <v>0</v>
      </c>
      <c r="N205" s="235">
        <f t="shared" ca="1" si="91"/>
        <v>0</v>
      </c>
    </row>
    <row r="206" spans="1:14" x14ac:dyDescent="0.25">
      <c r="A206" s="205">
        <f t="shared" si="72"/>
        <v>2057</v>
      </c>
      <c r="B206" s="207">
        <f t="shared" ref="B206:N206" ca="1" si="92">IF($C85="","",IF($C85&lt;0,0,IF(AND($C85=1,start_time&lt;1),-(SUM(B159)*output_kgyear*$E85*percnt_var*start_time+SUM(B159)*output_kgyear*$E85*(1-start_time)),IF($C85&lt;=start_time,-SUM(B159)*output_kgyear*$E85*percnt_var,-SUM(B159)*output_kgyear*$E85))))</f>
        <v>-287682934.9265722</v>
      </c>
      <c r="C206" s="207">
        <f t="shared" ca="1" si="92"/>
        <v>0</v>
      </c>
      <c r="D206" s="207">
        <f t="shared" ca="1" si="92"/>
        <v>0</v>
      </c>
      <c r="E206" s="234">
        <f t="shared" ca="1" si="92"/>
        <v>0</v>
      </c>
      <c r="F206" s="206">
        <f t="shared" ca="1" si="92"/>
        <v>-12963715.167005308</v>
      </c>
      <c r="G206" s="207">
        <f t="shared" ca="1" si="92"/>
        <v>0</v>
      </c>
      <c r="H206" s="207">
        <f t="shared" ca="1" si="92"/>
        <v>0</v>
      </c>
      <c r="I206" s="234">
        <f t="shared" ca="1" si="92"/>
        <v>0</v>
      </c>
      <c r="J206" s="601">
        <f t="shared" ca="1" si="92"/>
        <v>0</v>
      </c>
      <c r="K206" s="232">
        <f t="shared" ca="1" si="92"/>
        <v>0</v>
      </c>
      <c r="L206" s="232">
        <f t="shared" ca="1" si="92"/>
        <v>0</v>
      </c>
      <c r="M206" s="207">
        <f t="shared" ca="1" si="92"/>
        <v>0</v>
      </c>
      <c r="N206" s="235">
        <f t="shared" ca="1" si="92"/>
        <v>0</v>
      </c>
    </row>
    <row r="207" spans="1:14" x14ac:dyDescent="0.25">
      <c r="A207" s="205">
        <f t="shared" si="72"/>
        <v>2058</v>
      </c>
      <c r="B207" s="207">
        <f t="shared" ref="B207:N207" ca="1" si="93">IF($C86="","",IF($C86&lt;0,0,IF(AND($C86=1,start_time&lt;1),-(SUM(B160)*output_kgyear*$E86*percnt_var*start_time+SUM(B160)*output_kgyear*$E86*(1-start_time)),IF($C86&lt;=start_time,-SUM(B160)*output_kgyear*$E86*percnt_var,-SUM(B160)*output_kgyear*$E86))))</f>
        <v>-294722380.32232618</v>
      </c>
      <c r="C207" s="207">
        <f t="shared" ca="1" si="93"/>
        <v>0</v>
      </c>
      <c r="D207" s="207">
        <f t="shared" ca="1" si="93"/>
        <v>0</v>
      </c>
      <c r="E207" s="234">
        <f t="shared" ca="1" si="93"/>
        <v>0</v>
      </c>
      <c r="F207" s="206">
        <f t="shared" ca="1" si="93"/>
        <v>-13223179.08208088</v>
      </c>
      <c r="G207" s="207">
        <f t="shared" ca="1" si="93"/>
        <v>0</v>
      </c>
      <c r="H207" s="207">
        <f t="shared" ca="1" si="93"/>
        <v>0</v>
      </c>
      <c r="I207" s="234">
        <f t="shared" ca="1" si="93"/>
        <v>0</v>
      </c>
      <c r="J207" s="601">
        <f t="shared" ca="1" si="93"/>
        <v>0</v>
      </c>
      <c r="K207" s="232">
        <f t="shared" ca="1" si="93"/>
        <v>0</v>
      </c>
      <c r="L207" s="232">
        <f t="shared" ca="1" si="93"/>
        <v>0</v>
      </c>
      <c r="M207" s="207">
        <f t="shared" ca="1" si="93"/>
        <v>0</v>
      </c>
      <c r="N207" s="235">
        <f t="shared" ca="1" si="93"/>
        <v>0</v>
      </c>
    </row>
    <row r="208" spans="1:14" x14ac:dyDescent="0.25">
      <c r="A208" s="205">
        <f t="shared" si="72"/>
        <v>2059</v>
      </c>
      <c r="B208" s="207">
        <f t="shared" ref="B208:N208" ca="1" si="94">IF($C87="","",IF($C87&lt;0,0,IF(AND($C87=1,start_time&lt;1),-(SUM(B161)*output_kgyear*$E87*percnt_var*start_time+SUM(B161)*output_kgyear*$E87*(1-start_time)),IF($C87&lt;=start_time,-SUM(B161)*output_kgyear*$E87*percnt_var,-SUM(B161)*output_kgyear*$E87))))</f>
        <v>-301934077.12914312</v>
      </c>
      <c r="C208" s="207">
        <f t="shared" ca="1" si="94"/>
        <v>0</v>
      </c>
      <c r="D208" s="207">
        <f t="shared" ca="1" si="94"/>
        <v>0</v>
      </c>
      <c r="E208" s="234">
        <f t="shared" ca="1" si="94"/>
        <v>0</v>
      </c>
      <c r="F208" s="206">
        <f t="shared" ca="1" si="94"/>
        <v>-13487836.070466004</v>
      </c>
      <c r="G208" s="207">
        <f t="shared" ca="1" si="94"/>
        <v>0</v>
      </c>
      <c r="H208" s="207">
        <f t="shared" ca="1" si="94"/>
        <v>0</v>
      </c>
      <c r="I208" s="234">
        <f t="shared" ca="1" si="94"/>
        <v>0</v>
      </c>
      <c r="J208" s="601">
        <f t="shared" ca="1" si="94"/>
        <v>0</v>
      </c>
      <c r="K208" s="232">
        <f t="shared" ca="1" si="94"/>
        <v>0</v>
      </c>
      <c r="L208" s="232">
        <f t="shared" ca="1" si="94"/>
        <v>0</v>
      </c>
      <c r="M208" s="207">
        <f t="shared" ca="1" si="94"/>
        <v>0</v>
      </c>
      <c r="N208" s="235">
        <f t="shared" ca="1" si="94"/>
        <v>0</v>
      </c>
    </row>
    <row r="209" spans="1:14" x14ac:dyDescent="0.25">
      <c r="A209" s="205">
        <f t="shared" si="72"/>
        <v>2060</v>
      </c>
      <c r="B209" s="207">
        <f t="shared" ref="B209:N209" ca="1" si="95">IF($C88="","",IF($C88&lt;0,0,IF(AND($C88=1,start_time&lt;1),-(SUM(B162)*output_kgyear*$E88*percnt_var*start_time+SUM(B162)*output_kgyear*$E88*(1-start_time)),IF($C88&lt;=start_time,-SUM(B162)*output_kgyear*$E88*percnt_var,-SUM(B162)*output_kgyear*$E88))))</f>
        <v>-309322240.24563277</v>
      </c>
      <c r="C209" s="207">
        <f t="shared" ca="1" si="95"/>
        <v>0</v>
      </c>
      <c r="D209" s="207">
        <f t="shared" ca="1" si="95"/>
        <v>0</v>
      </c>
      <c r="E209" s="234">
        <f t="shared" ca="1" si="95"/>
        <v>0</v>
      </c>
      <c r="F209" s="206">
        <f t="shared" ca="1" si="95"/>
        <v>-13757790.069582531</v>
      </c>
      <c r="G209" s="207">
        <f t="shared" ca="1" si="95"/>
        <v>0</v>
      </c>
      <c r="H209" s="207">
        <f t="shared" ca="1" si="95"/>
        <v>0</v>
      </c>
      <c r="I209" s="234">
        <f t="shared" ca="1" si="95"/>
        <v>0</v>
      </c>
      <c r="J209" s="601">
        <f t="shared" ca="1" si="95"/>
        <v>0</v>
      </c>
      <c r="K209" s="232">
        <f t="shared" ca="1" si="95"/>
        <v>0</v>
      </c>
      <c r="L209" s="232">
        <f t="shared" ca="1" si="95"/>
        <v>0</v>
      </c>
      <c r="M209" s="207">
        <f t="shared" ca="1" si="95"/>
        <v>0</v>
      </c>
      <c r="N209" s="235">
        <f t="shared" ca="1" si="95"/>
        <v>0</v>
      </c>
    </row>
    <row r="210" spans="1:14" x14ac:dyDescent="0.25">
      <c r="A210" s="205">
        <f t="shared" si="72"/>
        <v>2061</v>
      </c>
      <c r="B210" s="207">
        <f t="shared" ref="B210:N210" ca="1" si="96">IF($C89="","",IF($C89&lt;0,0,IF(AND($C89=1,start_time&lt;1),-(SUM(B163)*output_kgyear*$E89*percnt_var*start_time+SUM(B163)*output_kgyear*$E89*(1-start_time)),IF($C89&lt;=start_time,-SUM(B163)*output_kgyear*$E89*percnt_var,-SUM(B163)*output_kgyear*$E89))))</f>
        <v>-316685898.99688846</v>
      </c>
      <c r="C210" s="207">
        <f t="shared" ca="1" si="96"/>
        <v>0</v>
      </c>
      <c r="D210" s="207">
        <f t="shared" ca="1" si="96"/>
        <v>0</v>
      </c>
      <c r="E210" s="234">
        <f t="shared" ca="1" si="96"/>
        <v>0</v>
      </c>
      <c r="F210" s="206">
        <f t="shared" ca="1" si="96"/>
        <v>-14025916.772714376</v>
      </c>
      <c r="G210" s="207">
        <f t="shared" ca="1" si="96"/>
        <v>0</v>
      </c>
      <c r="H210" s="207">
        <f t="shared" ca="1" si="96"/>
        <v>0</v>
      </c>
      <c r="I210" s="234">
        <f t="shared" ca="1" si="96"/>
        <v>0</v>
      </c>
      <c r="J210" s="601">
        <f t="shared" ca="1" si="96"/>
        <v>0</v>
      </c>
      <c r="K210" s="232">
        <f t="shared" ca="1" si="96"/>
        <v>0</v>
      </c>
      <c r="L210" s="232">
        <f t="shared" ca="1" si="96"/>
        <v>0</v>
      </c>
      <c r="M210" s="207">
        <f t="shared" ca="1" si="96"/>
        <v>0</v>
      </c>
      <c r="N210" s="235">
        <f t="shared" ca="1" si="96"/>
        <v>0</v>
      </c>
    </row>
    <row r="211" spans="1:14" x14ac:dyDescent="0.25">
      <c r="A211" s="205">
        <f t="shared" si="72"/>
        <v>2062</v>
      </c>
      <c r="B211" s="207">
        <f t="shared" ref="B211:N211" ca="1" si="97">IF($C90="","",IF($C90&lt;0,0,IF(AND($C90=1,start_time&lt;1),-(SUM(B164)*output_kgyear*$E90*percnt_var*start_time+SUM(B164)*output_kgyear*$E90*(1-start_time)),IF($C90&lt;=start_time,-SUM(B164)*output_kgyear*$E90*percnt_var,-SUM(B164)*output_kgyear*$E90))))</f>
        <v>-324224855.42529118</v>
      </c>
      <c r="C211" s="207">
        <f t="shared" ca="1" si="97"/>
        <v>0</v>
      </c>
      <c r="D211" s="207">
        <f t="shared" ca="1" si="97"/>
        <v>0</v>
      </c>
      <c r="E211" s="234">
        <f t="shared" ca="1" si="97"/>
        <v>0</v>
      </c>
      <c r="F211" s="206">
        <f t="shared" ca="1" si="97"/>
        <v>-14299269.019234283</v>
      </c>
      <c r="G211" s="207">
        <f t="shared" ca="1" si="97"/>
        <v>0</v>
      </c>
      <c r="H211" s="207">
        <f t="shared" ca="1" si="97"/>
        <v>0</v>
      </c>
      <c r="I211" s="234">
        <f t="shared" ca="1" si="97"/>
        <v>0</v>
      </c>
      <c r="J211" s="601">
        <f t="shared" ca="1" si="97"/>
        <v>0</v>
      </c>
      <c r="K211" s="232">
        <f t="shared" ca="1" si="97"/>
        <v>0</v>
      </c>
      <c r="L211" s="232">
        <f t="shared" ca="1" si="97"/>
        <v>0</v>
      </c>
      <c r="M211" s="207">
        <f t="shared" ca="1" si="97"/>
        <v>0</v>
      </c>
      <c r="N211" s="235">
        <f t="shared" ca="1" si="97"/>
        <v>0</v>
      </c>
    </row>
    <row r="212" spans="1:14" x14ac:dyDescent="0.25">
      <c r="A212" s="205">
        <f t="shared" si="72"/>
        <v>2063</v>
      </c>
      <c r="B212" s="207">
        <f t="shared" ref="B212:N212" ca="1" si="98">IF($C91="","",IF($C91&lt;0,0,IF(AND($C91=1,start_time&lt;1),-(SUM(B165)*output_kgyear*$E91*percnt_var*start_time+SUM(B165)*output_kgyear*$E91*(1-start_time)),IF($C91&lt;=start_time,-SUM(B165)*output_kgyear*$E91*percnt_var,-SUM(B165)*output_kgyear*$E91))))</f>
        <v>-331943282.62965631</v>
      </c>
      <c r="C212" s="207">
        <f t="shared" ca="1" si="98"/>
        <v>0</v>
      </c>
      <c r="D212" s="207">
        <f t="shared" ca="1" si="98"/>
        <v>0</v>
      </c>
      <c r="E212" s="234">
        <f t="shared" ca="1" si="98"/>
        <v>0</v>
      </c>
      <c r="F212" s="206">
        <f t="shared" ca="1" si="98"/>
        <v>-14577948.650187466</v>
      </c>
      <c r="G212" s="207">
        <f t="shared" ca="1" si="98"/>
        <v>0</v>
      </c>
      <c r="H212" s="207">
        <f t="shared" ca="1" si="98"/>
        <v>0</v>
      </c>
      <c r="I212" s="234">
        <f t="shared" ca="1" si="98"/>
        <v>0</v>
      </c>
      <c r="J212" s="601">
        <f t="shared" ca="1" si="98"/>
        <v>0</v>
      </c>
      <c r="K212" s="232">
        <f t="shared" ca="1" si="98"/>
        <v>0</v>
      </c>
      <c r="L212" s="232">
        <f t="shared" ca="1" si="98"/>
        <v>0</v>
      </c>
      <c r="M212" s="207">
        <f t="shared" ca="1" si="98"/>
        <v>0</v>
      </c>
      <c r="N212" s="235">
        <f t="shared" ca="1" si="98"/>
        <v>0</v>
      </c>
    </row>
    <row r="213" spans="1:14" x14ac:dyDescent="0.25">
      <c r="A213" s="205">
        <f t="shared" si="72"/>
        <v>2064</v>
      </c>
      <c r="B213" s="207">
        <f t="shared" ref="B213:N213" ca="1" si="99">IF($C92="","",IF($C92&lt;0,0,IF(AND($C92=1,start_time&lt;1),-(SUM(B166)*output_kgyear*$E92*percnt_var*start_time+SUM(B166)*output_kgyear*$E92*(1-start_time)),IF($C92&lt;=start_time,-SUM(B166)*output_kgyear*$E92*percnt_var,-SUM(B166)*output_kgyear*$E92))))</f>
        <v>-339845453.05269283</v>
      </c>
      <c r="C213" s="207">
        <f t="shared" ca="1" si="99"/>
        <v>0</v>
      </c>
      <c r="D213" s="207">
        <f t="shared" ca="1" si="99"/>
        <v>0</v>
      </c>
      <c r="E213" s="234">
        <f t="shared" ca="1" si="99"/>
        <v>0</v>
      </c>
      <c r="F213" s="206">
        <f t="shared" ca="1" si="99"/>
        <v>-14862059.491407674</v>
      </c>
      <c r="G213" s="207">
        <f t="shared" ca="1" si="99"/>
        <v>0</v>
      </c>
      <c r="H213" s="207">
        <f t="shared" ca="1" si="99"/>
        <v>0</v>
      </c>
      <c r="I213" s="234">
        <f t="shared" ca="1" si="99"/>
        <v>0</v>
      </c>
      <c r="J213" s="601">
        <f t="shared" ca="1" si="99"/>
        <v>0</v>
      </c>
      <c r="K213" s="232">
        <f t="shared" ca="1" si="99"/>
        <v>0</v>
      </c>
      <c r="L213" s="232">
        <f t="shared" ca="1" si="99"/>
        <v>0</v>
      </c>
      <c r="M213" s="207">
        <f t="shared" ca="1" si="99"/>
        <v>0</v>
      </c>
      <c r="N213" s="235">
        <f t="shared" ca="1" si="99"/>
        <v>0</v>
      </c>
    </row>
    <row r="214" spans="1:14" x14ac:dyDescent="0.25">
      <c r="A214" s="205">
        <f t="shared" si="72"/>
        <v>2065</v>
      </c>
      <c r="B214" s="207">
        <f t="shared" ref="B214:N214" ca="1" si="100">IF($C93="","",IF($C93&lt;0,0,IF(AND($C93=1,start_time&lt;1),-(SUM(B167)*output_kgyear*$E93*percnt_var*start_time+SUM(B167)*output_kgyear*$E93*(1-start_time)),IF($C93&lt;=start_time,-SUM(B167)*output_kgyear*$E93*percnt_var,-SUM(B167)*output_kgyear*$E93))))</f>
        <v>-347935740.84596199</v>
      </c>
      <c r="C214" s="207">
        <f t="shared" ca="1" si="100"/>
        <v>0</v>
      </c>
      <c r="D214" s="207">
        <f t="shared" ca="1" si="100"/>
        <v>0</v>
      </c>
      <c r="E214" s="234">
        <f t="shared" ca="1" si="100"/>
        <v>0</v>
      </c>
      <c r="F214" s="206">
        <f t="shared" ca="1" si="100"/>
        <v>-15151707.392198866</v>
      </c>
      <c r="G214" s="207">
        <f t="shared" ca="1" si="100"/>
        <v>0</v>
      </c>
      <c r="H214" s="207">
        <f t="shared" ca="1" si="100"/>
        <v>0</v>
      </c>
      <c r="I214" s="234">
        <f t="shared" ca="1" si="100"/>
        <v>0</v>
      </c>
      <c r="J214" s="601">
        <f t="shared" ca="1" si="100"/>
        <v>0</v>
      </c>
      <c r="K214" s="232">
        <f t="shared" ca="1" si="100"/>
        <v>0</v>
      </c>
      <c r="L214" s="232">
        <f t="shared" ca="1" si="100"/>
        <v>0</v>
      </c>
      <c r="M214" s="207">
        <f t="shared" ca="1" si="100"/>
        <v>0</v>
      </c>
      <c r="N214" s="235">
        <f t="shared" ca="1" si="100"/>
        <v>0</v>
      </c>
    </row>
    <row r="215" spans="1:14" x14ac:dyDescent="0.25">
      <c r="A215" s="205">
        <f t="shared" si="72"/>
        <v>2066</v>
      </c>
      <c r="B215" s="207">
        <f t="shared" ref="B215:N215" ca="1" si="101">IF($C94="","",IF($C94&lt;0,0,IF(AND($C94=1,start_time&lt;1),-(SUM(B168)*output_kgyear*$E94*percnt_var*start_time+SUM(B168)*output_kgyear*$E94*(1-start_time)),IF($C94&lt;=start_time,-SUM(B168)*output_kgyear*$E94*percnt_var,-SUM(B168)*output_kgyear*$E94))))</f>
        <v>-355971580.25002414</v>
      </c>
      <c r="C215" s="207">
        <f t="shared" ca="1" si="101"/>
        <v>0</v>
      </c>
      <c r="D215" s="207">
        <f t="shared" ca="1" si="101"/>
        <v>0</v>
      </c>
      <c r="E215" s="234">
        <f t="shared" ca="1" si="101"/>
        <v>0</v>
      </c>
      <c r="F215" s="206">
        <f t="shared" ca="1" si="101"/>
        <v>-15446739.110498862</v>
      </c>
      <c r="G215" s="207">
        <f t="shared" ca="1" si="101"/>
        <v>0</v>
      </c>
      <c r="H215" s="207">
        <f t="shared" ca="1" si="101"/>
        <v>0</v>
      </c>
      <c r="I215" s="234">
        <f t="shared" ca="1" si="101"/>
        <v>0</v>
      </c>
      <c r="J215" s="601">
        <f t="shared" ca="1" si="101"/>
        <v>0</v>
      </c>
      <c r="K215" s="232">
        <f t="shared" ca="1" si="101"/>
        <v>0</v>
      </c>
      <c r="L215" s="232">
        <f t="shared" ca="1" si="101"/>
        <v>0</v>
      </c>
      <c r="M215" s="207">
        <f t="shared" ca="1" si="101"/>
        <v>0</v>
      </c>
      <c r="N215" s="235">
        <f t="shared" ca="1" si="101"/>
        <v>0</v>
      </c>
    </row>
    <row r="216" spans="1:14" x14ac:dyDescent="0.25">
      <c r="A216" s="205">
        <f t="shared" si="72"/>
        <v>2067</v>
      </c>
      <c r="B216" s="207">
        <f t="shared" ref="B216:N216" ca="1" si="102">IF($C95="","",IF($C95&lt;0,0,IF(AND($C95=1,start_time&lt;1),-(SUM(B169)*output_kgyear*$E95*percnt_var*start_time+SUM(B169)*output_kgyear*$E95*(1-start_time)),IF($C95&lt;=start_time,-SUM(B169)*output_kgyear*$E95*percnt_var,-SUM(B169)*output_kgyear*$E95))))</f>
        <v>-364193013.45014435</v>
      </c>
      <c r="C216" s="207">
        <f t="shared" ca="1" si="102"/>
        <v>0</v>
      </c>
      <c r="D216" s="207">
        <f t="shared" ca="1" si="102"/>
        <v>0</v>
      </c>
      <c r="E216" s="234">
        <f t="shared" ca="1" si="102"/>
        <v>0</v>
      </c>
      <c r="F216" s="206">
        <f t="shared" ca="1" si="102"/>
        <v>-15747515.641086336</v>
      </c>
      <c r="G216" s="207">
        <f t="shared" ca="1" si="102"/>
        <v>0</v>
      </c>
      <c r="H216" s="207">
        <f t="shared" ca="1" si="102"/>
        <v>0</v>
      </c>
      <c r="I216" s="234">
        <f t="shared" ca="1" si="102"/>
        <v>0</v>
      </c>
      <c r="J216" s="601">
        <f t="shared" ca="1" si="102"/>
        <v>0</v>
      </c>
      <c r="K216" s="232">
        <f t="shared" ca="1" si="102"/>
        <v>0</v>
      </c>
      <c r="L216" s="232">
        <f t="shared" ca="1" si="102"/>
        <v>0</v>
      </c>
      <c r="M216" s="207">
        <f t="shared" ca="1" si="102"/>
        <v>0</v>
      </c>
      <c r="N216" s="235">
        <f t="shared" ca="1" si="102"/>
        <v>0</v>
      </c>
    </row>
    <row r="217" spans="1:14" x14ac:dyDescent="0.25">
      <c r="A217" s="205">
        <f t="shared" si="72"/>
        <v>2068</v>
      </c>
      <c r="B217" s="207">
        <f t="shared" ref="B217:N217" ca="1" si="103">IF($C96="","",IF($C96&lt;0,0,IF(AND($C96=1,start_time&lt;1),-(SUM(B170)*output_kgyear*$E96*percnt_var*start_time+SUM(B170)*output_kgyear*$E96*(1-start_time)),IF($C96&lt;=start_time,-SUM(B170)*output_kgyear*$E96*percnt_var,-SUM(B170)*output_kgyear*$E96))))</f>
        <v>-372604326.87558061</v>
      </c>
      <c r="C217" s="207">
        <f t="shared" ca="1" si="103"/>
        <v>0</v>
      </c>
      <c r="D217" s="207">
        <f t="shared" ca="1" si="103"/>
        <v>0</v>
      </c>
      <c r="E217" s="234">
        <f t="shared" ca="1" si="103"/>
        <v>0</v>
      </c>
      <c r="F217" s="206">
        <f t="shared" ca="1" si="103"/>
        <v>-16054148.84606347</v>
      </c>
      <c r="G217" s="207">
        <f t="shared" ca="1" si="103"/>
        <v>0</v>
      </c>
      <c r="H217" s="207">
        <f t="shared" ca="1" si="103"/>
        <v>0</v>
      </c>
      <c r="I217" s="234">
        <f t="shared" ca="1" si="103"/>
        <v>0</v>
      </c>
      <c r="J217" s="601">
        <f t="shared" ca="1" si="103"/>
        <v>0</v>
      </c>
      <c r="K217" s="232">
        <f t="shared" ca="1" si="103"/>
        <v>0</v>
      </c>
      <c r="L217" s="232">
        <f t="shared" ca="1" si="103"/>
        <v>0</v>
      </c>
      <c r="M217" s="207">
        <f t="shared" ca="1" si="103"/>
        <v>0</v>
      </c>
      <c r="N217" s="235">
        <f t="shared" ca="1" si="103"/>
        <v>0</v>
      </c>
    </row>
    <row r="218" spans="1:14" x14ac:dyDescent="0.25">
      <c r="A218" s="205">
        <f t="shared" si="72"/>
        <v>2069</v>
      </c>
      <c r="B218" s="207">
        <f t="shared" ref="B218:N218" ca="1" si="104">IF($C97="","",IF($C97&lt;0,0,IF(AND($C97=1,start_time&lt;1),-(SUM(B171)*output_kgyear*$E97*percnt_var*start_time+SUM(B171)*output_kgyear*$E97*(1-start_time)),IF($C97&lt;=start_time,-SUM(B171)*output_kgyear*$E97*percnt_var,-SUM(B171)*output_kgyear*$E97))))</f>
        <v>-381209905.95392084</v>
      </c>
      <c r="C218" s="207">
        <f t="shared" ca="1" si="104"/>
        <v>0</v>
      </c>
      <c r="D218" s="207">
        <f t="shared" ca="1" si="104"/>
        <v>0</v>
      </c>
      <c r="E218" s="234">
        <f t="shared" ca="1" si="104"/>
        <v>0</v>
      </c>
      <c r="F218" s="206">
        <f t="shared" ca="1" si="104"/>
        <v>-16366752.765694112</v>
      </c>
      <c r="G218" s="207">
        <f t="shared" ca="1" si="104"/>
        <v>0</v>
      </c>
      <c r="H218" s="207">
        <f t="shared" ca="1" si="104"/>
        <v>0</v>
      </c>
      <c r="I218" s="234">
        <f t="shared" ca="1" si="104"/>
        <v>0</v>
      </c>
      <c r="J218" s="601">
        <f t="shared" ca="1" si="104"/>
        <v>0</v>
      </c>
      <c r="K218" s="232">
        <f t="shared" ca="1" si="104"/>
        <v>0</v>
      </c>
      <c r="L218" s="232">
        <f t="shared" ca="1" si="104"/>
        <v>0</v>
      </c>
      <c r="M218" s="207">
        <f t="shared" ca="1" si="104"/>
        <v>0</v>
      </c>
      <c r="N218" s="235">
        <f t="shared" ca="1" si="104"/>
        <v>0</v>
      </c>
    </row>
    <row r="219" spans="1:14" x14ac:dyDescent="0.25">
      <c r="A219" s="205">
        <f t="shared" si="72"/>
        <v>2070</v>
      </c>
      <c r="B219" s="207">
        <f t="shared" ref="B219:N219" ca="1" si="105">IF($C98="","",IF($C98&lt;0,0,IF(AND($C98=1,start_time&lt;1),-(SUM(B172)*output_kgyear*$E98*percnt_var*start_time+SUM(B172)*output_kgyear*$E98*(1-start_time)),IF($C98&lt;=start_time,-SUM(B172)*output_kgyear*$E98*percnt_var,-SUM(B172)*output_kgyear*$E98))))</f>
        <v>-390014237.39752364</v>
      </c>
      <c r="C219" s="207">
        <f t="shared" ca="1" si="105"/>
        <v>0</v>
      </c>
      <c r="D219" s="207">
        <f t="shared" ca="1" si="105"/>
        <v>0</v>
      </c>
      <c r="E219" s="234">
        <f t="shared" ca="1" si="105"/>
        <v>0</v>
      </c>
      <c r="F219" s="206">
        <f t="shared" ca="1" si="105"/>
        <v>-16685443.660816606</v>
      </c>
      <c r="G219" s="207">
        <f t="shared" ca="1" si="105"/>
        <v>0</v>
      </c>
      <c r="H219" s="207">
        <f t="shared" ca="1" si="105"/>
        <v>0</v>
      </c>
      <c r="I219" s="234">
        <f t="shared" ca="1" si="105"/>
        <v>0</v>
      </c>
      <c r="J219" s="601">
        <f t="shared" ca="1" si="105"/>
        <v>0</v>
      </c>
      <c r="K219" s="232">
        <f t="shared" ca="1" si="105"/>
        <v>0</v>
      </c>
      <c r="L219" s="232">
        <f t="shared" ca="1" si="105"/>
        <v>0</v>
      </c>
      <c r="M219" s="207">
        <f t="shared" ca="1" si="105"/>
        <v>0</v>
      </c>
      <c r="N219" s="235">
        <f t="shared" ca="1" si="105"/>
        <v>0</v>
      </c>
    </row>
    <row r="220" spans="1:14" x14ac:dyDescent="0.25">
      <c r="A220" s="205">
        <f t="shared" si="72"/>
        <v>2071</v>
      </c>
      <c r="B220" s="207">
        <f t="shared" ref="B220:N220" ca="1" si="106">IF($C99="","",IF($C99&lt;0,0,IF(AND($C99=1,start_time&lt;1),-(SUM(B173)*output_kgyear*$E99*percnt_var*start_time+SUM(B173)*output_kgyear*$E99*(1-start_time)),IF($C99&lt;=start_time,-SUM(B173)*output_kgyear*$E99*percnt_var,-SUM(B173)*output_kgyear*$E99))))</f>
        <v>-398744074.13318777</v>
      </c>
      <c r="C220" s="207">
        <f t="shared" ca="1" si="106"/>
        <v>0</v>
      </c>
      <c r="D220" s="207">
        <f t="shared" ca="1" si="106"/>
        <v>0</v>
      </c>
      <c r="E220" s="234">
        <f t="shared" ca="1" si="106"/>
        <v>0</v>
      </c>
      <c r="F220" s="206">
        <f t="shared" ca="1" si="106"/>
        <v>-17007604.549921162</v>
      </c>
      <c r="G220" s="207">
        <f t="shared" ca="1" si="106"/>
        <v>0</v>
      </c>
      <c r="H220" s="207">
        <f t="shared" ca="1" si="106"/>
        <v>0</v>
      </c>
      <c r="I220" s="234">
        <f t="shared" ca="1" si="106"/>
        <v>0</v>
      </c>
      <c r="J220" s="601">
        <f t="shared" ca="1" si="106"/>
        <v>0</v>
      </c>
      <c r="K220" s="232">
        <f t="shared" ca="1" si="106"/>
        <v>0</v>
      </c>
      <c r="L220" s="232">
        <f t="shared" ca="1" si="106"/>
        <v>0</v>
      </c>
      <c r="M220" s="207">
        <f t="shared" ca="1" si="106"/>
        <v>0</v>
      </c>
      <c r="N220" s="235">
        <f t="shared" ca="1" si="106"/>
        <v>0</v>
      </c>
    </row>
    <row r="221" spans="1:14" x14ac:dyDescent="0.25">
      <c r="A221" s="205">
        <f t="shared" si="72"/>
        <v>2072</v>
      </c>
      <c r="B221" s="207">
        <f t="shared" ref="B221:N221" ca="1" si="107">IF($C100="","",IF($C100&lt;0,0,IF(AND($C100=1,start_time&lt;1),-(SUM(B174)*output_kgyear*$E100*percnt_var*start_time+SUM(B174)*output_kgyear*$E100*(1-start_time)),IF($C100&lt;=start_time,-SUM(B174)*output_kgyear*$E100*percnt_var,-SUM(B174)*output_kgyear*$E100))))</f>
        <v>-407669314.11858934</v>
      </c>
      <c r="C221" s="207">
        <f t="shared" ca="1" si="107"/>
        <v>0</v>
      </c>
      <c r="D221" s="207">
        <f t="shared" ca="1" si="107"/>
        <v>0</v>
      </c>
      <c r="E221" s="234">
        <f t="shared" ca="1" si="107"/>
        <v>0</v>
      </c>
      <c r="F221" s="206">
        <f t="shared" ca="1" si="107"/>
        <v>-17335985.689477459</v>
      </c>
      <c r="G221" s="207">
        <f t="shared" ca="1" si="107"/>
        <v>0</v>
      </c>
      <c r="H221" s="207">
        <f t="shared" ca="1" si="107"/>
        <v>0</v>
      </c>
      <c r="I221" s="234">
        <f t="shared" ca="1" si="107"/>
        <v>0</v>
      </c>
      <c r="J221" s="601">
        <f t="shared" ca="1" si="107"/>
        <v>0</v>
      </c>
      <c r="K221" s="232">
        <f t="shared" ca="1" si="107"/>
        <v>0</v>
      </c>
      <c r="L221" s="232">
        <f t="shared" ca="1" si="107"/>
        <v>0</v>
      </c>
      <c r="M221" s="207">
        <f t="shared" ca="1" si="107"/>
        <v>0</v>
      </c>
      <c r="N221" s="235">
        <f t="shared" ca="1" si="107"/>
        <v>0</v>
      </c>
    </row>
    <row r="222" spans="1:14" x14ac:dyDescent="0.25">
      <c r="A222" s="205">
        <f t="shared" si="72"/>
        <v>2073</v>
      </c>
      <c r="B222" s="207">
        <f t="shared" ref="B222:N222" ca="1" si="108">IF($C101="","",IF($C101&lt;0,0,IF(AND($C101=1,start_time&lt;1),-(SUM(B175)*output_kgyear*$E101*percnt_var*start_time+SUM(B175)*output_kgyear*$E101*(1-start_time)),IF($C101&lt;=start_time,-SUM(B175)*output_kgyear*$E101*percnt_var,-SUM(B175)*output_kgyear*$E101))))</f>
        <v>-416794331.13884747</v>
      </c>
      <c r="C222" s="207">
        <f t="shared" ca="1" si="108"/>
        <v>0</v>
      </c>
      <c r="D222" s="207">
        <f t="shared" ca="1" si="108"/>
        <v>0</v>
      </c>
      <c r="E222" s="234">
        <f t="shared" ca="1" si="108"/>
        <v>0</v>
      </c>
      <c r="F222" s="206">
        <f t="shared" ca="1" si="108"/>
        <v>-17670707.179463454</v>
      </c>
      <c r="G222" s="207">
        <f t="shared" ca="1" si="108"/>
        <v>0</v>
      </c>
      <c r="H222" s="207">
        <f t="shared" ca="1" si="108"/>
        <v>0</v>
      </c>
      <c r="I222" s="234">
        <f t="shared" ca="1" si="108"/>
        <v>0</v>
      </c>
      <c r="J222" s="601">
        <f t="shared" ca="1" si="108"/>
        <v>0</v>
      </c>
      <c r="K222" s="232">
        <f t="shared" ca="1" si="108"/>
        <v>0</v>
      </c>
      <c r="L222" s="232">
        <f t="shared" ca="1" si="108"/>
        <v>0</v>
      </c>
      <c r="M222" s="207">
        <f t="shared" ca="1" si="108"/>
        <v>0</v>
      </c>
      <c r="N222" s="235">
        <f t="shared" ca="1" si="108"/>
        <v>0</v>
      </c>
    </row>
    <row r="223" spans="1:14" x14ac:dyDescent="0.25">
      <c r="A223" s="205">
        <f t="shared" si="72"/>
        <v>2074</v>
      </c>
      <c r="B223" s="207">
        <f t="shared" ref="B223:N223" ca="1" si="109">IF($C102="","",IF($C102&lt;0,0,IF(AND($C102=1,start_time&lt;1),-(SUM(B176)*output_kgyear*$E102*percnt_var*start_time+SUM(B176)*output_kgyear*$E102*(1-start_time)),IF($C102&lt;=start_time,-SUM(B176)*output_kgyear*$E102*percnt_var,-SUM(B176)*output_kgyear*$E102))))</f>
        <v>-426123596.87917441</v>
      </c>
      <c r="C223" s="207">
        <f t="shared" ca="1" si="109"/>
        <v>0</v>
      </c>
      <c r="D223" s="207">
        <f t="shared" ca="1" si="109"/>
        <v>0</v>
      </c>
      <c r="E223" s="234">
        <f t="shared" ca="1" si="109"/>
        <v>0</v>
      </c>
      <c r="F223" s="206">
        <f t="shared" ca="1" si="109"/>
        <v>-18011891.438735563</v>
      </c>
      <c r="G223" s="207">
        <f t="shared" ca="1" si="109"/>
        <v>0</v>
      </c>
      <c r="H223" s="207">
        <f t="shared" ca="1" si="109"/>
        <v>0</v>
      </c>
      <c r="I223" s="234">
        <f t="shared" ca="1" si="109"/>
        <v>0</v>
      </c>
      <c r="J223" s="601">
        <f t="shared" ca="1" si="109"/>
        <v>0</v>
      </c>
      <c r="K223" s="232">
        <f t="shared" ca="1" si="109"/>
        <v>0</v>
      </c>
      <c r="L223" s="232">
        <f t="shared" ca="1" si="109"/>
        <v>0</v>
      </c>
      <c r="M223" s="207">
        <f t="shared" ca="1" si="109"/>
        <v>0</v>
      </c>
      <c r="N223" s="235">
        <f t="shared" ca="1" si="109"/>
        <v>0</v>
      </c>
    </row>
    <row r="224" spans="1:14" x14ac:dyDescent="0.25">
      <c r="A224" s="205">
        <f t="shared" si="72"/>
        <v>2075</v>
      </c>
      <c r="B224" s="207">
        <f t="shared" ref="B224:N224" ca="1" si="110">IF($C103="","",IF($C103&lt;0,0,IF(AND($C103=1,start_time&lt;1),-(SUM(B177)*output_kgyear*$E103*percnt_var*start_time+SUM(B177)*output_kgyear*$E103*(1-start_time)),IF($C103&lt;=start_time,-SUM(B177)*output_kgyear*$E103*percnt_var,-SUM(B177)*output_kgyear*$E103))))</f>
        <v>-435661683.11620975</v>
      </c>
      <c r="C224" s="207">
        <f t="shared" ca="1" si="110"/>
        <v>0</v>
      </c>
      <c r="D224" s="207">
        <f t="shared" ca="1" si="110"/>
        <v>0</v>
      </c>
      <c r="E224" s="234">
        <f t="shared" ca="1" si="110"/>
        <v>0</v>
      </c>
      <c r="F224" s="206">
        <f t="shared" ca="1" si="110"/>
        <v>-18359663.249801319</v>
      </c>
      <c r="G224" s="207">
        <f t="shared" ca="1" si="110"/>
        <v>0</v>
      </c>
      <c r="H224" s="207">
        <f t="shared" ca="1" si="110"/>
        <v>0</v>
      </c>
      <c r="I224" s="234">
        <f t="shared" ca="1" si="110"/>
        <v>0</v>
      </c>
      <c r="J224" s="601">
        <f t="shared" ca="1" si="110"/>
        <v>0</v>
      </c>
      <c r="K224" s="232">
        <f t="shared" ca="1" si="110"/>
        <v>0</v>
      </c>
      <c r="L224" s="232">
        <f t="shared" ca="1" si="110"/>
        <v>0</v>
      </c>
      <c r="M224" s="207">
        <f t="shared" ca="1" si="110"/>
        <v>0</v>
      </c>
      <c r="N224" s="235">
        <f t="shared" ca="1" si="110"/>
        <v>0</v>
      </c>
    </row>
    <row r="225" spans="1:14" x14ac:dyDescent="0.25">
      <c r="A225" s="205">
        <f t="shared" si="72"/>
        <v>2076</v>
      </c>
      <c r="B225" s="207">
        <f t="shared" ref="B225:N225" ca="1" si="111">IF($C104="","",IF($C104&lt;0,0,IF(AND($C104=1,start_time&lt;1),-(SUM(B178)*output_kgyear*$E104*percnt_var*start_time+SUM(B178)*output_kgyear*$E104*(1-start_time)),IF($C104&lt;=start_time,-SUM(B178)*output_kgyear*$E104*percnt_var,-SUM(B178)*output_kgyear*$E104))))</f>
        <v>-444886589.60907316</v>
      </c>
      <c r="C225" s="207">
        <f t="shared" ca="1" si="111"/>
        <v>0</v>
      </c>
      <c r="D225" s="207">
        <f t="shared" ca="1" si="111"/>
        <v>0</v>
      </c>
      <c r="E225" s="234">
        <f t="shared" ca="1" si="111"/>
        <v>0</v>
      </c>
      <c r="F225" s="206">
        <f t="shared" ca="1" si="111"/>
        <v>-18706381.064320039</v>
      </c>
      <c r="G225" s="207">
        <f t="shared" ca="1" si="111"/>
        <v>0</v>
      </c>
      <c r="H225" s="207">
        <f t="shared" ca="1" si="111"/>
        <v>0</v>
      </c>
      <c r="I225" s="234">
        <f t="shared" ca="1" si="111"/>
        <v>0</v>
      </c>
      <c r="J225" s="601">
        <f t="shared" ca="1" si="111"/>
        <v>0</v>
      </c>
      <c r="K225" s="232">
        <f t="shared" ca="1" si="111"/>
        <v>0</v>
      </c>
      <c r="L225" s="232">
        <f t="shared" ca="1" si="111"/>
        <v>0</v>
      </c>
      <c r="M225" s="207">
        <f t="shared" ca="1" si="111"/>
        <v>0</v>
      </c>
      <c r="N225" s="235">
        <f t="shared" ca="1" si="111"/>
        <v>0</v>
      </c>
    </row>
    <row r="226" spans="1:14" x14ac:dyDescent="0.25">
      <c r="A226" s="205">
        <f t="shared" si="72"/>
        <v>2077</v>
      </c>
      <c r="B226" s="207">
        <f t="shared" ref="B226:N226" ca="1" si="112">IF($C105="","",IF($C105&lt;0,0,IF(AND($C105=1,start_time&lt;1),-(SUM(B179)*output_kgyear*$E105*percnt_var*start_time+SUM(B179)*output_kgyear*$E105*(1-start_time)),IF($C105&lt;=start_time,-SUM(B179)*output_kgyear*$E105*percnt_var,-SUM(B179)*output_kgyear*$E105))))</f>
        <v>-454306828.63426602</v>
      </c>
      <c r="C226" s="207">
        <f t="shared" ca="1" si="112"/>
        <v>0</v>
      </c>
      <c r="D226" s="207">
        <f t="shared" ca="1" si="112"/>
        <v>0</v>
      </c>
      <c r="E226" s="234">
        <f t="shared" ca="1" si="112"/>
        <v>0</v>
      </c>
      <c r="F226" s="206">
        <f t="shared" ca="1" si="112"/>
        <v>-19059646.561182868</v>
      </c>
      <c r="G226" s="207">
        <f t="shared" ca="1" si="112"/>
        <v>0</v>
      </c>
      <c r="H226" s="207">
        <f t="shared" ca="1" si="112"/>
        <v>0</v>
      </c>
      <c r="I226" s="234">
        <f t="shared" ca="1" si="112"/>
        <v>0</v>
      </c>
      <c r="J226" s="601">
        <f t="shared" ca="1" si="112"/>
        <v>0</v>
      </c>
      <c r="K226" s="232">
        <f t="shared" ca="1" si="112"/>
        <v>0</v>
      </c>
      <c r="L226" s="232">
        <f t="shared" ca="1" si="112"/>
        <v>0</v>
      </c>
      <c r="M226" s="207">
        <f t="shared" ca="1" si="112"/>
        <v>0</v>
      </c>
      <c r="N226" s="235">
        <f t="shared" ca="1" si="112"/>
        <v>0</v>
      </c>
    </row>
    <row r="227" spans="1:14" x14ac:dyDescent="0.25">
      <c r="A227" s="205">
        <f t="shared" si="72"/>
        <v>2078</v>
      </c>
      <c r="B227" s="207">
        <f t="shared" ref="B227:N227" ca="1" si="113">IF($C106="","",IF($C106&lt;0,0,IF(AND($C106=1,start_time&lt;1),-(SUM(B180)*output_kgyear*$E106*percnt_var*start_time+SUM(B180)*output_kgyear*$E106*(1-start_time)),IF($C106&lt;=start_time,-SUM(B180)*output_kgyear*$E106*percnt_var,-SUM(B180)*output_kgyear*$E106))))</f>
        <v>-463926536.25519657</v>
      </c>
      <c r="C227" s="207">
        <f t="shared" ca="1" si="113"/>
        <v>0</v>
      </c>
      <c r="D227" s="207">
        <f t="shared" ca="1" si="113"/>
        <v>0</v>
      </c>
      <c r="E227" s="234">
        <f t="shared" ca="1" si="113"/>
        <v>0</v>
      </c>
      <c r="F227" s="206">
        <f t="shared" ca="1" si="113"/>
        <v>-19419583.391792443</v>
      </c>
      <c r="G227" s="207">
        <f t="shared" ca="1" si="113"/>
        <v>0</v>
      </c>
      <c r="H227" s="207">
        <f t="shared" ca="1" si="113"/>
        <v>0</v>
      </c>
      <c r="I227" s="234">
        <f t="shared" ca="1" si="113"/>
        <v>0</v>
      </c>
      <c r="J227" s="601">
        <f t="shared" ca="1" si="113"/>
        <v>0</v>
      </c>
      <c r="K227" s="232">
        <f t="shared" ca="1" si="113"/>
        <v>0</v>
      </c>
      <c r="L227" s="232">
        <f t="shared" ca="1" si="113"/>
        <v>0</v>
      </c>
      <c r="M227" s="207">
        <f t="shared" ca="1" si="113"/>
        <v>0</v>
      </c>
      <c r="N227" s="235">
        <f t="shared" ca="1" si="113"/>
        <v>0</v>
      </c>
    </row>
    <row r="228" spans="1:14" x14ac:dyDescent="0.25">
      <c r="A228" s="205">
        <f t="shared" si="72"/>
        <v>2079</v>
      </c>
      <c r="B228" s="207">
        <f t="shared" ref="B228:N228" ca="1" si="114">IF($C107="","",IF($C107&lt;0,0,IF(AND($C107=1,start_time&lt;1),-(SUM(B181)*output_kgyear*$E107*percnt_var*start_time+SUM(B181)*output_kgyear*$E107*(1-start_time)),IF($C107&lt;=start_time,-SUM(B181)*output_kgyear*$E107*percnt_var,-SUM(B181)*output_kgyear*$E107))))</f>
        <v>-473749936.11423492</v>
      </c>
      <c r="C228" s="207">
        <f t="shared" ca="1" si="114"/>
        <v>0</v>
      </c>
      <c r="D228" s="207">
        <f t="shared" ca="1" si="114"/>
        <v>0</v>
      </c>
      <c r="E228" s="234">
        <f t="shared" ca="1" si="114"/>
        <v>0</v>
      </c>
      <c r="F228" s="206">
        <f t="shared" ca="1" si="114"/>
        <v>-19786317.542678311</v>
      </c>
      <c r="G228" s="207">
        <f t="shared" ca="1" si="114"/>
        <v>0</v>
      </c>
      <c r="H228" s="207">
        <f t="shared" ca="1" si="114"/>
        <v>0</v>
      </c>
      <c r="I228" s="234">
        <f t="shared" ca="1" si="114"/>
        <v>0</v>
      </c>
      <c r="J228" s="601">
        <f t="shared" ca="1" si="114"/>
        <v>0</v>
      </c>
      <c r="K228" s="232">
        <f t="shared" ca="1" si="114"/>
        <v>0</v>
      </c>
      <c r="L228" s="232">
        <f t="shared" ca="1" si="114"/>
        <v>0</v>
      </c>
      <c r="M228" s="207">
        <f t="shared" ca="1" si="114"/>
        <v>0</v>
      </c>
      <c r="N228" s="235">
        <f t="shared" ca="1" si="114"/>
        <v>0</v>
      </c>
    </row>
    <row r="229" spans="1:14" x14ac:dyDescent="0.25">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1" t="str">
        <f t="shared" si="115"/>
        <v/>
      </c>
      <c r="K229" s="232" t="str">
        <f t="shared" si="115"/>
        <v/>
      </c>
      <c r="L229" s="232" t="str">
        <f t="shared" si="115"/>
        <v/>
      </c>
      <c r="M229" s="207" t="str">
        <f t="shared" si="115"/>
        <v/>
      </c>
      <c r="N229" s="235" t="str">
        <f t="shared" si="115"/>
        <v/>
      </c>
    </row>
    <row r="231" spans="1:14" x14ac:dyDescent="0.25">
      <c r="A231" s="207" t="s">
        <v>1190</v>
      </c>
      <c r="B231" s="207">
        <f ca="1">+B186+NPV($X$59,B187:B228)</f>
        <v>-1877216683.9585564</v>
      </c>
      <c r="C231" s="207">
        <f t="shared" ref="C231:N231" ca="1" si="116">+C186+NPV($X$59,C187:C228)</f>
        <v>0</v>
      </c>
      <c r="D231" s="207">
        <f t="shared" ca="1" si="116"/>
        <v>0</v>
      </c>
      <c r="E231" s="207">
        <f t="shared" ca="1" si="116"/>
        <v>0</v>
      </c>
      <c r="F231" s="207">
        <f t="shared" ca="1" si="116"/>
        <v>-87965653.181754097</v>
      </c>
      <c r="G231" s="207">
        <f t="shared" ca="1" si="116"/>
        <v>0</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5">
      <c r="A232" s="207" t="s">
        <v>1189</v>
      </c>
      <c r="B232" s="207">
        <f ca="1">-B231/$AE$116*(1+inflation_rate)^construct/INFLATION_FACTOR</f>
        <v>1.0323787971615324</v>
      </c>
      <c r="C232" s="207">
        <f t="shared" ref="C232:N232" ca="1" si="117">-C231/$AE$116*(1+inflation_rate)^construct/INFLATION_FACTOR</f>
        <v>0</v>
      </c>
      <c r="D232" s="207">
        <f t="shared" ca="1" si="117"/>
        <v>0</v>
      </c>
      <c r="E232" s="207">
        <f t="shared" ca="1" si="117"/>
        <v>0</v>
      </c>
      <c r="F232" s="207">
        <f ca="1">-F231/$AE$116*(1+inflation_rate)^construct/INFLATION_FACTOR</f>
        <v>4.83768741239851E-2</v>
      </c>
      <c r="G232" s="207">
        <f t="shared" ca="1" si="117"/>
        <v>0</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5">
      <c r="A233" s="207" t="s">
        <v>1191</v>
      </c>
      <c r="B233" s="207">
        <f ca="1">IF(B132&gt;0,B232/B133*(1+inflation_rate)^construct,"")</f>
        <v>7.0022406148925338</v>
      </c>
      <c r="C233" s="207" t="str">
        <f t="shared" ref="C233:N233" si="118">IF(C132&gt;0,C232/C133*(1+inflation_rate)^construct,"")</f>
        <v/>
      </c>
      <c r="D233" s="207" t="str">
        <f t="shared" si="118"/>
        <v/>
      </c>
      <c r="E233" s="207" t="str">
        <f t="shared" si="118"/>
        <v/>
      </c>
      <c r="F233" s="207">
        <f t="shared" ca="1" si="118"/>
        <v>8.5311799867846899E-2</v>
      </c>
      <c r="G233" s="207" t="str">
        <f t="shared" si="118"/>
        <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5">
      <c r="A279" s="53" t="s">
        <v>193</v>
      </c>
    </row>
    <row r="280" spans="1:5" x14ac:dyDescent="0.25">
      <c r="A280" s="53" t="s">
        <v>1052</v>
      </c>
      <c r="B280" s="53" t="s">
        <v>637</v>
      </c>
      <c r="C280" s="53" t="s">
        <v>194</v>
      </c>
      <c r="D280" s="53" t="s">
        <v>195</v>
      </c>
      <c r="E280" s="53" t="s">
        <v>196</v>
      </c>
    </row>
    <row r="281" spans="1:5" x14ac:dyDescent="0.25">
      <c r="A281" s="53" t="str">
        <f>'HyARC Physical Property Data'!A76</f>
        <v>Commercial Electricity</v>
      </c>
      <c r="B281" s="53">
        <f ca="1">VLOOKUP(A281,MASTER_PROPERTY_TABLE,9,FALSE)</f>
        <v>3.5999999999999995E-3</v>
      </c>
      <c r="C281" s="53">
        <f ca="1">MATCH(startup_year,Feedstock_Year,0)</f>
        <v>44</v>
      </c>
      <c r="D281" s="53">
        <f ca="1">VLOOKUP(A281,FEEDPRICETABLE,C281,FALSE)</f>
        <v>31.985796962436115</v>
      </c>
      <c r="E281" s="53">
        <f ca="1">B281*D281</f>
        <v>0.11514886906477</v>
      </c>
    </row>
    <row r="282" spans="1:5" x14ac:dyDescent="0.25">
      <c r="A282" s="53" t="str">
        <f>'HyARC Physical Property Data'!A77</f>
        <v>Industrial Electricity</v>
      </c>
      <c r="B282" s="53">
        <f ca="1">VLOOKUP(A282,MASTER_PROPERTY_TABLE,9,FALSE)</f>
        <v>3.5999999999999995E-3</v>
      </c>
      <c r="C282" s="53">
        <f ca="1">MATCH(startup_year,Feedstock_Year,0)+2</f>
        <v>46</v>
      </c>
      <c r="D282" s="53">
        <f ca="1">VLOOKUP(A282,FEEDPRICETABLE,C282,FALSE)</f>
        <v>21.516251270074765</v>
      </c>
      <c r="E282" s="53">
        <f ca="1">B282*D282</f>
        <v>7.7458504572269146E-2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55" zoomScaleNormal="55" workbookViewId="0">
      <pane xSplit="1" ySplit="6" topLeftCell="B7" activePane="bottomRight" state="frozen"/>
      <selection pane="topRight" activeCell="B1" sqref="B1"/>
      <selection pane="bottomLeft" activeCell="A7" sqref="A7"/>
      <selection pane="bottomRight" activeCell="A142" sqref="A142:AF161"/>
    </sheetView>
  </sheetViews>
  <sheetFormatPr defaultRowHeight="12.5" x14ac:dyDescent="0.25"/>
  <cols>
    <col min="1" max="1" width="30.26953125" customWidth="1"/>
    <col min="2" max="2" width="18.81640625" customWidth="1"/>
    <col min="3" max="3" width="11.26953125" customWidth="1"/>
    <col min="5" max="5" width="12.7265625" customWidth="1"/>
    <col min="6" max="6" width="12.453125" customWidth="1"/>
    <col min="7" max="7" width="11.7265625" customWidth="1"/>
  </cols>
  <sheetData>
    <row r="3" spans="1:104" ht="13.5" thickBot="1" x14ac:dyDescent="0.35">
      <c r="BW3" s="1399" t="s">
        <v>1293</v>
      </c>
      <c r="BX3" s="1399"/>
      <c r="BY3" s="1399"/>
      <c r="BZ3" s="1399"/>
      <c r="CA3" s="1399"/>
      <c r="CB3" s="1399"/>
      <c r="CC3" s="1399"/>
      <c r="CD3" s="1399"/>
    </row>
    <row r="4" spans="1:104" ht="13.5" thickTop="1" x14ac:dyDescent="0.3">
      <c r="A4" s="867" t="s">
        <v>1117</v>
      </c>
      <c r="B4" s="868" t="str">
        <f>"Prices are in $(" &amp; ref_year&amp;")/GJ LHV"</f>
        <v>Prices are in $(2016)/GJ LHV</v>
      </c>
      <c r="C4" s="869"/>
      <c r="D4" s="869"/>
      <c r="E4" s="869"/>
      <c r="F4" s="869"/>
      <c r="G4" s="869"/>
      <c r="H4" s="869"/>
      <c r="I4" s="869"/>
      <c r="J4" s="869"/>
      <c r="K4" s="869"/>
      <c r="L4" s="869"/>
      <c r="M4" s="869"/>
      <c r="N4" s="869"/>
      <c r="O4" s="869"/>
      <c r="P4" s="869"/>
      <c r="Q4" s="869"/>
      <c r="R4" s="869"/>
      <c r="S4" s="869"/>
      <c r="T4" s="869"/>
      <c r="U4" s="869"/>
      <c r="V4" s="869"/>
      <c r="W4" s="869"/>
      <c r="X4" s="869"/>
      <c r="Y4" s="869"/>
      <c r="Z4" s="869"/>
      <c r="AA4" s="869"/>
      <c r="AB4" s="869"/>
      <c r="AC4" s="869"/>
      <c r="AD4" s="869"/>
      <c r="AE4" s="869"/>
      <c r="AF4" s="869"/>
      <c r="AG4" s="869"/>
      <c r="AH4" s="882" t="s">
        <v>772</v>
      </c>
      <c r="AI4" s="883"/>
      <c r="AJ4" s="883"/>
      <c r="AK4" s="883"/>
      <c r="AL4" s="883"/>
      <c r="AM4" s="883"/>
      <c r="AN4" s="883"/>
      <c r="AO4" s="883"/>
      <c r="AP4" s="883"/>
      <c r="AQ4" s="883"/>
      <c r="AR4" s="883"/>
      <c r="AS4" s="883"/>
      <c r="AT4" s="883"/>
      <c r="AU4" s="883"/>
      <c r="AV4" s="883"/>
      <c r="AW4" s="883"/>
      <c r="AX4" s="883"/>
      <c r="AY4" s="883"/>
      <c r="AZ4" s="883"/>
      <c r="BA4" s="883"/>
      <c r="BB4" s="883"/>
      <c r="BC4" s="883"/>
      <c r="BD4" s="883"/>
      <c r="BE4" s="883"/>
      <c r="BF4" s="883"/>
      <c r="BG4" s="883"/>
      <c r="BH4" s="883"/>
      <c r="BI4" s="883"/>
      <c r="BJ4" s="883"/>
      <c r="BK4" s="883"/>
      <c r="BL4" s="883"/>
      <c r="BM4" s="883"/>
      <c r="BN4" s="883"/>
      <c r="BO4" s="883"/>
      <c r="BP4" s="883"/>
      <c r="BQ4" s="883"/>
      <c r="BR4" s="883"/>
      <c r="BS4" s="883"/>
      <c r="BT4" s="883"/>
      <c r="BU4" s="883"/>
      <c r="BV4" s="884"/>
    </row>
    <row r="5" spans="1:104" ht="39.5" thickBot="1" x14ac:dyDescent="0.35">
      <c r="A5" s="887" t="s">
        <v>1084</v>
      </c>
      <c r="B5" s="888" t="s">
        <v>678</v>
      </c>
      <c r="C5" s="888" t="s">
        <v>679</v>
      </c>
      <c r="D5" s="888" t="s">
        <v>690</v>
      </c>
      <c r="E5" s="888" t="s">
        <v>691</v>
      </c>
      <c r="F5" s="889" t="s">
        <v>680</v>
      </c>
      <c r="G5" s="889" t="s">
        <v>692</v>
      </c>
      <c r="H5" s="889">
        <v>2004</v>
      </c>
      <c r="I5" s="889">
        <v>2005</v>
      </c>
      <c r="J5" s="889">
        <v>2006</v>
      </c>
      <c r="K5" s="889">
        <v>2007</v>
      </c>
      <c r="L5" s="889">
        <v>2008</v>
      </c>
      <c r="M5" s="889">
        <v>2009</v>
      </c>
      <c r="N5" s="889">
        <v>2010</v>
      </c>
      <c r="O5" s="889">
        <v>2011</v>
      </c>
      <c r="P5" s="889">
        <v>2012</v>
      </c>
      <c r="Q5" s="889">
        <v>2013</v>
      </c>
      <c r="R5" s="889">
        <v>2014</v>
      </c>
      <c r="S5" s="889">
        <v>2015</v>
      </c>
      <c r="T5" s="889">
        <v>2016</v>
      </c>
      <c r="U5" s="889">
        <v>2017</v>
      </c>
      <c r="V5" s="889">
        <v>2018</v>
      </c>
      <c r="W5" s="889">
        <v>2019</v>
      </c>
      <c r="X5" s="889">
        <v>2020</v>
      </c>
      <c r="Y5" s="889">
        <v>2021</v>
      </c>
      <c r="Z5" s="889">
        <v>2022</v>
      </c>
      <c r="AA5" s="889">
        <v>2023</v>
      </c>
      <c r="AB5" s="889">
        <v>2024</v>
      </c>
      <c r="AC5" s="889">
        <v>2025</v>
      </c>
      <c r="AD5" s="889">
        <v>2026</v>
      </c>
      <c r="AE5" s="889">
        <v>2027</v>
      </c>
      <c r="AF5" s="889">
        <v>2028</v>
      </c>
      <c r="AG5" s="889">
        <v>2029</v>
      </c>
      <c r="AH5" s="889">
        <v>2030</v>
      </c>
      <c r="AI5" s="889">
        <v>2031</v>
      </c>
      <c r="AJ5" s="889">
        <v>2032</v>
      </c>
      <c r="AK5" s="889">
        <v>2033</v>
      </c>
      <c r="AL5" s="889">
        <v>2034</v>
      </c>
      <c r="AM5" s="889">
        <v>2035</v>
      </c>
      <c r="AN5" s="889">
        <v>2036</v>
      </c>
      <c r="AO5" s="889">
        <v>2037</v>
      </c>
      <c r="AP5" s="889">
        <v>2038</v>
      </c>
      <c r="AQ5" s="889">
        <v>2039</v>
      </c>
      <c r="AR5" s="889">
        <v>2040</v>
      </c>
      <c r="AS5" s="889">
        <v>2041</v>
      </c>
      <c r="AT5" s="889">
        <v>2042</v>
      </c>
      <c r="AU5" s="889">
        <v>2043</v>
      </c>
      <c r="AV5" s="889">
        <v>2044</v>
      </c>
      <c r="AW5" s="889">
        <v>2045</v>
      </c>
      <c r="AX5" s="889">
        <v>2046</v>
      </c>
      <c r="AY5" s="889">
        <v>2047</v>
      </c>
      <c r="AZ5" s="889">
        <v>2048</v>
      </c>
      <c r="BA5" s="889">
        <v>2049</v>
      </c>
      <c r="BB5" s="889">
        <v>2050</v>
      </c>
      <c r="BC5" s="889">
        <v>2051</v>
      </c>
      <c r="BD5" s="889">
        <v>2052</v>
      </c>
      <c r="BE5" s="889">
        <v>2053</v>
      </c>
      <c r="BF5" s="889">
        <v>2054</v>
      </c>
      <c r="BG5" s="889">
        <v>2055</v>
      </c>
      <c r="BH5" s="889">
        <v>2056</v>
      </c>
      <c r="BI5" s="889">
        <v>2057</v>
      </c>
      <c r="BJ5" s="889">
        <v>2058</v>
      </c>
      <c r="BK5" s="889">
        <v>2059</v>
      </c>
      <c r="BL5" s="889">
        <v>2060</v>
      </c>
      <c r="BM5" s="889">
        <v>2061</v>
      </c>
      <c r="BN5" s="889">
        <v>2062</v>
      </c>
      <c r="BO5" s="889">
        <v>2063</v>
      </c>
      <c r="BP5" s="889">
        <v>2064</v>
      </c>
      <c r="BQ5" s="889">
        <v>2065</v>
      </c>
      <c r="BR5" s="889">
        <v>2066</v>
      </c>
      <c r="BS5" s="889">
        <v>2067</v>
      </c>
      <c r="BT5" s="889">
        <v>2068</v>
      </c>
      <c r="BU5" s="889">
        <v>2069</v>
      </c>
      <c r="BV5" s="890">
        <v>2070</v>
      </c>
      <c r="BW5" s="1399">
        <f t="shared" ref="BW5" si="0">+BV5+1</f>
        <v>2071</v>
      </c>
      <c r="BX5" s="1399">
        <f t="shared" ref="BX5" si="1">+BW5+1</f>
        <v>2072</v>
      </c>
      <c r="BY5" s="1399">
        <f t="shared" ref="BY5" si="2">+BX5+1</f>
        <v>2073</v>
      </c>
      <c r="BZ5" s="1399">
        <f t="shared" ref="BZ5" si="3">+BY5+1</f>
        <v>2074</v>
      </c>
      <c r="CA5" s="1399">
        <f t="shared" ref="CA5" si="4">+BZ5+1</f>
        <v>2075</v>
      </c>
      <c r="CB5" s="1399">
        <f t="shared" ref="CB5" si="5">+CA5+1</f>
        <v>2076</v>
      </c>
      <c r="CC5" s="1399">
        <f t="shared" ref="CC5" si="6">+CB5+1</f>
        <v>2077</v>
      </c>
      <c r="CD5" s="1399">
        <f t="shared" ref="CD5" si="7">+CC5+1</f>
        <v>2078</v>
      </c>
      <c r="CE5" s="1399">
        <f t="shared" ref="CE5" si="8">+CD5+1</f>
        <v>2079</v>
      </c>
      <c r="CF5" s="1399">
        <f t="shared" ref="CF5" si="9">+CE5+1</f>
        <v>2080</v>
      </c>
      <c r="CG5" s="1399">
        <f t="shared" ref="CG5" si="10">+CF5+1</f>
        <v>2081</v>
      </c>
      <c r="CH5" s="1399">
        <f t="shared" ref="CH5" si="11">+CG5+1</f>
        <v>2082</v>
      </c>
      <c r="CI5" s="1399">
        <f t="shared" ref="CI5" si="12">+CH5+1</f>
        <v>2083</v>
      </c>
      <c r="CJ5" s="1399">
        <f t="shared" ref="CJ5" si="13">+CI5+1</f>
        <v>2084</v>
      </c>
      <c r="CK5" s="1399">
        <f t="shared" ref="CK5" si="14">+CJ5+1</f>
        <v>2085</v>
      </c>
      <c r="CL5" s="1399">
        <f t="shared" ref="CL5" si="15">+CK5+1</f>
        <v>2086</v>
      </c>
      <c r="CM5" s="1399">
        <f t="shared" ref="CM5" si="16">+CL5+1</f>
        <v>2087</v>
      </c>
      <c r="CN5" s="1399">
        <f t="shared" ref="CN5" si="17">+CM5+1</f>
        <v>2088</v>
      </c>
      <c r="CO5" s="1399">
        <f t="shared" ref="CO5" si="18">+CN5+1</f>
        <v>2089</v>
      </c>
      <c r="CP5" s="1399">
        <f t="shared" ref="CP5" si="19">+CO5+1</f>
        <v>2090</v>
      </c>
      <c r="CQ5" s="1399">
        <f t="shared" ref="CQ5" si="20">+CP5+1</f>
        <v>2091</v>
      </c>
      <c r="CR5" s="1399">
        <f t="shared" ref="CR5" si="21">+CQ5+1</f>
        <v>2092</v>
      </c>
      <c r="CS5" s="1399">
        <f t="shared" ref="CS5" si="22">+CR5+1</f>
        <v>2093</v>
      </c>
      <c r="CT5" s="1399">
        <f t="shared" ref="CT5" si="23">+CS5+1</f>
        <v>2094</v>
      </c>
      <c r="CU5" s="1399">
        <f t="shared" ref="CU5" si="24">+CT5+1</f>
        <v>2095</v>
      </c>
      <c r="CV5" s="1399">
        <f t="shared" ref="CV5" si="25">+CU5+1</f>
        <v>2096</v>
      </c>
      <c r="CW5" s="1399">
        <f t="shared" ref="CW5" si="26">+CV5+1</f>
        <v>2097</v>
      </c>
      <c r="CX5" s="1399">
        <f t="shared" ref="CX5" si="27">+CW5+1</f>
        <v>2098</v>
      </c>
      <c r="CY5" s="1399">
        <f t="shared" ref="CY5" si="28">+CX5+1</f>
        <v>2099</v>
      </c>
      <c r="CZ5" s="1399">
        <f t="shared" ref="CZ5" si="29">+CY5+1</f>
        <v>2100</v>
      </c>
    </row>
    <row r="6" spans="1:104" ht="13" thickBot="1" x14ac:dyDescent="0.3">
      <c r="A6" s="958" t="s">
        <v>1090</v>
      </c>
      <c r="B6" s="959"/>
      <c r="C6" s="959"/>
      <c r="D6" s="959"/>
      <c r="E6" s="959"/>
      <c r="F6" s="871"/>
      <c r="G6" s="959"/>
      <c r="H6" s="959"/>
      <c r="I6" s="959"/>
      <c r="J6" s="959"/>
      <c r="K6" s="959"/>
      <c r="L6" s="959"/>
      <c r="M6" s="959"/>
      <c r="N6" s="959"/>
      <c r="O6" s="959"/>
      <c r="P6" s="959"/>
      <c r="Q6" s="959"/>
      <c r="R6" s="959"/>
      <c r="S6" s="959"/>
      <c r="T6" s="959"/>
      <c r="U6" s="959"/>
      <c r="V6" s="959"/>
      <c r="W6" s="959"/>
      <c r="X6" s="959"/>
      <c r="Y6" s="959"/>
      <c r="Z6" s="959"/>
      <c r="AA6" s="959"/>
      <c r="AB6" s="959"/>
      <c r="AC6" s="959"/>
      <c r="AD6" s="959"/>
      <c r="AE6" s="959"/>
      <c r="AF6" s="959"/>
      <c r="AG6" s="959"/>
      <c r="AH6" s="959"/>
      <c r="AI6" s="959"/>
      <c r="AJ6" s="959"/>
      <c r="AK6" s="959"/>
      <c r="AL6" s="959"/>
      <c r="AM6" s="959"/>
      <c r="AN6" s="959"/>
      <c r="AO6" s="959"/>
      <c r="AP6" s="959"/>
      <c r="AQ6" s="959"/>
      <c r="AR6" s="959"/>
      <c r="AS6" s="959"/>
      <c r="AT6" s="959"/>
      <c r="AU6" s="959"/>
      <c r="AV6" s="959"/>
      <c r="AW6" s="959"/>
      <c r="AX6" s="959"/>
      <c r="AY6" s="959"/>
      <c r="AZ6" s="959"/>
      <c r="BA6" s="959"/>
      <c r="BC6" s="959"/>
      <c r="BD6" s="959"/>
      <c r="BE6" s="959"/>
      <c r="BF6" s="959"/>
      <c r="BG6" s="959"/>
      <c r="BH6" s="959"/>
      <c r="BI6" s="959"/>
      <c r="BJ6" s="959"/>
      <c r="BK6" s="959"/>
      <c r="BL6" s="959"/>
      <c r="BM6" s="959"/>
      <c r="BN6" s="959"/>
      <c r="BO6" s="959"/>
      <c r="BP6" s="959"/>
      <c r="BR6" s="959"/>
      <c r="BS6" s="959"/>
      <c r="BT6" s="959"/>
      <c r="BU6" s="959"/>
    </row>
    <row r="7" spans="1:104" x14ac:dyDescent="0.25">
      <c r="A7" s="978" t="str">
        <f>'HyARC Physical Property Data'!A73</f>
        <v>Residential Natural Gas</v>
      </c>
      <c r="B7" s="959">
        <v>2007</v>
      </c>
      <c r="C7" s="960">
        <f>VLOOKUP(ref_year,DeflatorTable,2,FALSE)/VLOOKUP(B7,DeflatorTable,2,FALSE)</f>
        <v>1.1446359956438654</v>
      </c>
      <c r="D7" s="978" t="str">
        <f>'HyARC Physical Property Data'!H73</f>
        <v>mmBtu</v>
      </c>
      <c r="E7" s="960" t="s">
        <v>1058</v>
      </c>
      <c r="F7" s="959">
        <f>'HyARC Physical Property Data'!$E$6</f>
        <v>47.141269049911173</v>
      </c>
      <c r="G7" s="959">
        <f>'HyARC Physical Property Data'!$I$6</f>
        <v>52.224661236371581</v>
      </c>
      <c r="H7" s="959">
        <f>((13.7000589370728/(mmBTU_to_GJ))*($C$7))*($G$7/$F$7)</f>
        <v>16.46689578317423</v>
      </c>
      <c r="I7" s="959">
        <f>((13.7000589370728/(mmBTU_to_GJ))*($C$7))*($G$7/$F$7)</f>
        <v>16.46689578317423</v>
      </c>
      <c r="J7" s="959">
        <f>((13.7000589370728/(mmBTU_to_GJ))*($C$7))*($G$7/$F$7)</f>
        <v>16.46689578317423</v>
      </c>
      <c r="K7" s="959">
        <f>((12.6911582946777/(mmBTU_to_GJ))*($C$7))*($G$7/$F$7)</f>
        <v>15.254239559561855</v>
      </c>
      <c r="L7" s="959">
        <f>((12.9778490066528/(mmBTU_to_GJ))*($C$7))*($G$7/$F$7)</f>
        <v>15.59882976152975</v>
      </c>
      <c r="M7" s="959">
        <f>((10.7176141738892/(mmBTU_to_GJ))*($C$7))*($G$7/$F$7)</f>
        <v>12.882122365775233</v>
      </c>
      <c r="N7" s="959">
        <f>((11.192774772644/(mmBTU_to_GJ))*($C$7))*($G$7/$F$7)</f>
        <v>13.453245460639653</v>
      </c>
      <c r="O7" s="959">
        <f>((11.4872808456421/(mmBTU_to_GJ))*($C$7))*($G$7/$F$7)</f>
        <v>13.807229398507864</v>
      </c>
      <c r="P7" s="959">
        <f>((11.3991556167603/(mmBTU_to_GJ))*($C$7))*($G$7/$F$7)</f>
        <v>13.701306572443364</v>
      </c>
      <c r="Q7" s="959">
        <f>((11.3077983856201/(mmBTU_to_GJ))*($C$7))*($G$7/$F$7)</f>
        <v>13.591499015327374</v>
      </c>
      <c r="R7" s="959">
        <f>((11.2896461486816/(mmBTU_to_GJ))*($C$7))*($G$7/$F$7)</f>
        <v>13.569680788466401</v>
      </c>
      <c r="S7" s="959">
        <f>((11.3454151153564/(mmBTU_to_GJ))*($C$7))*($G$7/$F$7)</f>
        <v>13.636712745510335</v>
      </c>
      <c r="T7" s="959">
        <f>((11.5382986068726/(mmBTU_to_GJ))*($C$7))*($G$7/$F$7)</f>
        <v>13.868550606039326</v>
      </c>
      <c r="U7" s="959">
        <f>((11.7583208084106/(mmBTU_to_GJ))*($C$7))*($G$7/$F$7)</f>
        <v>14.133008056868725</v>
      </c>
      <c r="V7" s="959">
        <f>((11.9751005172729/(mmBTU_to_GJ))*($C$7))*($G$7/$F$7)</f>
        <v>14.393568167605377</v>
      </c>
      <c r="W7" s="959">
        <f>((12.23952293396/(mmBTU_to_GJ))*($C$7))*($G$7/$F$7)</f>
        <v>14.711392813347514</v>
      </c>
      <c r="X7" s="959">
        <f>((12.557071685791/(mmBTU_to_GJ))*($C$7))*($G$7/$F$7)</f>
        <v>15.093073083957748</v>
      </c>
      <c r="Y7" s="959">
        <f>((12.7957820892334/(mmBTU_to_GJ))*($C$7))*($G$7/$F$7)</f>
        <v>15.379992969040035</v>
      </c>
      <c r="Z7" s="959">
        <f>((12.8716516494751/(mmBTU_to_GJ))*($C$7))*($G$7/$F$7)</f>
        <v>15.471184995830123</v>
      </c>
      <c r="AA7" s="959">
        <f>((12.6602811813354/(mmBTU_to_GJ))*($C$7))*($G$7/$F$7)</f>
        <v>15.217126565389467</v>
      </c>
      <c r="AB7" s="959">
        <f>((12.6240320205688/(mmBTU_to_GJ))*($C$7))*($G$7/$F$7)</f>
        <v>15.173556595704456</v>
      </c>
      <c r="AC7" s="959">
        <f>((12.5992183685303/(mmBTU_to_GJ))*($C$7))*($G$7/$F$7)</f>
        <v>15.143731627505801</v>
      </c>
      <c r="AD7" s="959">
        <f>((12.7868556976318/(mmBTU_to_GJ))*($C$7))*($G$7/$F$7)</f>
        <v>15.369263821019688</v>
      </c>
      <c r="AE7" s="959">
        <f>((13.07555103302/(mmBTU_to_GJ))*($C$7))*($G$7/$F$7)</f>
        <v>15.716263496186178</v>
      </c>
      <c r="AF7" s="959">
        <f>((13.407883644104/(mmBTU_to_GJ))*($C$7))*($G$7/$F$7)</f>
        <v>16.115713345066876</v>
      </c>
      <c r="AG7" s="959">
        <f>((13.6725673675537/(mmBTU_to_GJ))*($C$7))*($G$7/$F$7)</f>
        <v>16.433852070569323</v>
      </c>
      <c r="AH7" s="959">
        <f>((13.9620389938354/(mmBTU_to_GJ))*($C$7))*($G$7/$F$7)</f>
        <v>16.781784814805029</v>
      </c>
      <c r="AI7" s="959">
        <f>($BB7-$AH7)/20+AH7</f>
        <v>16.924252919684925</v>
      </c>
      <c r="AJ7" s="959">
        <f t="shared" ref="AJ7:AY10" si="30">($BB7-$AH7)/20+AI7</f>
        <v>17.066721024564821</v>
      </c>
      <c r="AK7" s="959">
        <f t="shared" si="30"/>
        <v>17.209189129444717</v>
      </c>
      <c r="AL7" s="959">
        <f t="shared" si="30"/>
        <v>17.351657234324612</v>
      </c>
      <c r="AM7" s="959">
        <f t="shared" si="30"/>
        <v>17.494125339204508</v>
      </c>
      <c r="AN7" s="959">
        <f t="shared" si="30"/>
        <v>17.636593444084404</v>
      </c>
      <c r="AO7" s="959">
        <f t="shared" si="30"/>
        <v>17.7790615489643</v>
      </c>
      <c r="AP7" s="959">
        <f t="shared" si="30"/>
        <v>17.921529653844196</v>
      </c>
      <c r="AQ7" s="959">
        <f t="shared" si="30"/>
        <v>18.063997758724092</v>
      </c>
      <c r="AR7" s="959">
        <f t="shared" si="30"/>
        <v>18.206465863603988</v>
      </c>
      <c r="AS7" s="959">
        <f t="shared" si="30"/>
        <v>18.348933968483884</v>
      </c>
      <c r="AT7" s="959">
        <f t="shared" si="30"/>
        <v>18.49140207336378</v>
      </c>
      <c r="AU7" s="959">
        <f t="shared" si="30"/>
        <v>18.633870178243676</v>
      </c>
      <c r="AV7" s="959">
        <f t="shared" si="30"/>
        <v>18.776338283123572</v>
      </c>
      <c r="AW7" s="959">
        <f t="shared" si="30"/>
        <v>18.918806388003468</v>
      </c>
      <c r="AX7" s="959">
        <f t="shared" si="30"/>
        <v>19.061274492883364</v>
      </c>
      <c r="AY7" s="959">
        <f t="shared" si="30"/>
        <v>19.203742597763259</v>
      </c>
      <c r="AZ7" s="959">
        <f t="shared" ref="AY7:BA10" si="31">($BB7-$AH7)/20+AY7</f>
        <v>19.346210702643155</v>
      </c>
      <c r="BA7" s="959">
        <f t="shared" si="31"/>
        <v>19.488678807523051</v>
      </c>
      <c r="BB7" s="1077">
        <f>1.16978897829057*AH7</f>
        <v>19.631146912402976</v>
      </c>
      <c r="BC7" s="959">
        <f>($BQ7-$BB7)/15+BB7</f>
        <v>19.82552968566489</v>
      </c>
      <c r="BD7" s="959">
        <f t="shared" ref="BD7:BP7" si="32">($BQ7-$BB7)/15+BC7</f>
        <v>20.019912458926804</v>
      </c>
      <c r="BE7" s="959">
        <f t="shared" si="32"/>
        <v>20.214295232188718</v>
      </c>
      <c r="BF7" s="959">
        <f t="shared" si="32"/>
        <v>20.408678005450632</v>
      </c>
      <c r="BG7" s="959">
        <f t="shared" si="32"/>
        <v>20.603060778712546</v>
      </c>
      <c r="BH7" s="959">
        <f t="shared" si="32"/>
        <v>20.79744355197446</v>
      </c>
      <c r="BI7" s="959">
        <f t="shared" si="32"/>
        <v>20.991826325236374</v>
      </c>
      <c r="BJ7" s="959">
        <f t="shared" si="32"/>
        <v>21.186209098498288</v>
      </c>
      <c r="BK7" s="959">
        <f t="shared" si="32"/>
        <v>21.380591871760203</v>
      </c>
      <c r="BL7" s="959">
        <f t="shared" si="32"/>
        <v>21.574974645022117</v>
      </c>
      <c r="BM7" s="959">
        <f t="shared" si="32"/>
        <v>21.769357418284031</v>
      </c>
      <c r="BN7" s="959">
        <f t="shared" si="32"/>
        <v>21.963740191545945</v>
      </c>
      <c r="BO7" s="959">
        <f t="shared" si="32"/>
        <v>22.158122964807859</v>
      </c>
      <c r="BP7" s="959">
        <f t="shared" si="32"/>
        <v>22.352505738069773</v>
      </c>
      <c r="BQ7" s="1077">
        <f>1.14852629914794*BB7</f>
        <v>22.546888511331698</v>
      </c>
      <c r="BR7" s="959">
        <f>($BV7-$BQ7)/5+BQ7</f>
        <v>22.770142238524333</v>
      </c>
      <c r="BS7" s="959">
        <f>($BV7-$BQ7)/5+BR7</f>
        <v>22.993395965716967</v>
      </c>
      <c r="BT7" s="959">
        <f>($BV7-$BQ7)/5+BS7</f>
        <v>23.216649692909602</v>
      </c>
      <c r="BU7" s="959">
        <f>($BV7-$BQ7)/5+BT7</f>
        <v>23.439903420102237</v>
      </c>
      <c r="BV7" s="1078">
        <f>1.04950876638265*BQ7</f>
        <v>23.663157147294871</v>
      </c>
      <c r="BW7" s="1398">
        <f>+BV7*BW$133/BV$133</f>
        <v>23.741725786947789</v>
      </c>
      <c r="BX7" s="1398">
        <f t="shared" ref="BX7:CZ7" si="33">+BW7*BX$133/BW$133</f>
        <v>23.820555297586708</v>
      </c>
      <c r="BY7" s="1398">
        <f t="shared" si="33"/>
        <v>23.899646545380008</v>
      </c>
      <c r="BZ7" s="1398">
        <f t="shared" si="33"/>
        <v>23.979000399372005</v>
      </c>
      <c r="CA7" s="1398">
        <f t="shared" si="33"/>
        <v>24.058617731492493</v>
      </c>
      <c r="CB7" s="1398">
        <f t="shared" si="33"/>
        <v>24.109957095304743</v>
      </c>
      <c r="CC7" s="1398">
        <f t="shared" si="33"/>
        <v>24.1614060136353</v>
      </c>
      <c r="CD7" s="1398">
        <f t="shared" si="33"/>
        <v>24.212964720265646</v>
      </c>
      <c r="CE7" s="1398">
        <f t="shared" si="33"/>
        <v>24.264633449476126</v>
      </c>
      <c r="CF7" s="1398">
        <f t="shared" si="33"/>
        <v>24.316412436047038</v>
      </c>
      <c r="CG7" s="1398">
        <f t="shared" si="33"/>
        <v>24.333224744531737</v>
      </c>
      <c r="CH7" s="1398">
        <f t="shared" si="33"/>
        <v>24.350048677005677</v>
      </c>
      <c r="CI7" s="1398">
        <f t="shared" si="33"/>
        <v>24.366884241505659</v>
      </c>
      <c r="CJ7" s="1398">
        <f t="shared" si="33"/>
        <v>24.383731446074034</v>
      </c>
      <c r="CK7" s="1398">
        <f t="shared" si="33"/>
        <v>24.400590298758722</v>
      </c>
      <c r="CL7" s="1398">
        <f t="shared" si="33"/>
        <v>24.406304701449077</v>
      </c>
      <c r="CM7" s="1398">
        <f t="shared" si="33"/>
        <v>24.41202044240206</v>
      </c>
      <c r="CN7" s="1398">
        <f t="shared" si="33"/>
        <v>24.41773752193108</v>
      </c>
      <c r="CO7" s="1398">
        <f t="shared" si="33"/>
        <v>24.423455940349619</v>
      </c>
      <c r="CP7" s="1398">
        <f t="shared" si="33"/>
        <v>24.429175697971235</v>
      </c>
      <c r="CQ7" s="1398">
        <f t="shared" si="33"/>
        <v>24.437844539812179</v>
      </c>
      <c r="CR7" s="1398">
        <f t="shared" si="33"/>
        <v>24.446516457844467</v>
      </c>
      <c r="CS7" s="1398">
        <f t="shared" si="33"/>
        <v>24.455191453159703</v>
      </c>
      <c r="CT7" s="1398">
        <f t="shared" si="33"/>
        <v>24.463869526849884</v>
      </c>
      <c r="CU7" s="1398">
        <f t="shared" si="33"/>
        <v>24.472550680007387</v>
      </c>
      <c r="CV7" s="1398">
        <f t="shared" si="33"/>
        <v>24.485911011470357</v>
      </c>
      <c r="CW7" s="1398">
        <f t="shared" si="33"/>
        <v>24.499278636756479</v>
      </c>
      <c r="CX7" s="1398">
        <f t="shared" si="33"/>
        <v>24.512653559847685</v>
      </c>
      <c r="CY7" s="1398">
        <f t="shared" si="33"/>
        <v>24.526035784728073</v>
      </c>
      <c r="CZ7" s="1398">
        <f t="shared" si="33"/>
        <v>24.539425315383912</v>
      </c>
    </row>
    <row r="8" spans="1:104" x14ac:dyDescent="0.25">
      <c r="A8" s="875" t="str">
        <f>'HyARC Physical Property Data'!A71</f>
        <v>Commercial Natural Gas</v>
      </c>
      <c r="B8" s="260">
        <v>2007</v>
      </c>
      <c r="C8" s="874">
        <f>VLOOKUP(ref_year,DeflatorTable,2,FALSE)/VLOOKUP(B8,DeflatorTable,2,FALSE)</f>
        <v>1.1446359956438654</v>
      </c>
      <c r="D8" s="875" t="str">
        <f>'HyARC Physical Property Data'!H71</f>
        <v>mmBtu</v>
      </c>
      <c r="E8" s="874" t="s">
        <v>1058</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6">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6">
        <f>1.14852629914794*BB8</f>
        <v>20.216294531146865</v>
      </c>
      <c r="BR8" s="260">
        <f t="shared" ref="BR8:BU10" si="35">($BV8-$BQ8)/5+BQ8</f>
        <v>20.416471291759944</v>
      </c>
      <c r="BS8" s="260">
        <f t="shared" si="35"/>
        <v>20.616648052373023</v>
      </c>
      <c r="BT8" s="260">
        <f t="shared" si="35"/>
        <v>20.816824812986102</v>
      </c>
      <c r="BU8" s="260">
        <f t="shared" si="35"/>
        <v>21.017001573599181</v>
      </c>
      <c r="BV8" s="1079">
        <f>1.04950876638265*BQ8</f>
        <v>21.217178334212257</v>
      </c>
      <c r="BW8" s="1398">
        <f>+BV8*BW$134/BV$134</f>
        <v>21.287625604989181</v>
      </c>
      <c r="BX8" s="1398">
        <f t="shared" ref="BX8:CZ8" si="36">+BW8*BX$134/BW$134</f>
        <v>21.358306781419426</v>
      </c>
      <c r="BY8" s="1398">
        <f t="shared" si="36"/>
        <v>21.429222640138541</v>
      </c>
      <c r="BZ8" s="1398">
        <f t="shared" si="36"/>
        <v>21.500373960360729</v>
      </c>
      <c r="CA8" s="1398">
        <f t="shared" si="36"/>
        <v>21.571761523887421</v>
      </c>
      <c r="CB8" s="1398">
        <f t="shared" si="36"/>
        <v>21.617794115007417</v>
      </c>
      <c r="CC8" s="1398">
        <f t="shared" si="36"/>
        <v>21.663924936373601</v>
      </c>
      <c r="CD8" s="1398">
        <f t="shared" si="36"/>
        <v>21.710154197602268</v>
      </c>
      <c r="CE8" s="1398">
        <f t="shared" si="36"/>
        <v>21.756482108757027</v>
      </c>
      <c r="CF8" s="1398">
        <f t="shared" si="36"/>
        <v>21.802908880349733</v>
      </c>
      <c r="CG8" s="1398">
        <f t="shared" si="36"/>
        <v>21.817983358582254</v>
      </c>
      <c r="CH8" s="1398">
        <f t="shared" si="36"/>
        <v>21.833068259272402</v>
      </c>
      <c r="CI8" s="1398">
        <f t="shared" si="36"/>
        <v>21.848163589626239</v>
      </c>
      <c r="CJ8" s="1398">
        <f t="shared" si="36"/>
        <v>21.863269356854815</v>
      </c>
      <c r="CK8" s="1398">
        <f t="shared" si="36"/>
        <v>21.878385568174153</v>
      </c>
      <c r="CL8" s="1398">
        <f t="shared" si="36"/>
        <v>21.883509292798049</v>
      </c>
      <c r="CM8" s="1398">
        <f t="shared" si="36"/>
        <v>21.888634217352987</v>
      </c>
      <c r="CN8" s="1398">
        <f t="shared" si="36"/>
        <v>21.893760342119982</v>
      </c>
      <c r="CO8" s="1398">
        <f t="shared" si="36"/>
        <v>21.898887667380112</v>
      </c>
      <c r="CP8" s="1398">
        <f t="shared" si="36"/>
        <v>21.904016193414524</v>
      </c>
      <c r="CQ8" s="1398">
        <f t="shared" si="36"/>
        <v>21.911788967019731</v>
      </c>
      <c r="CR8" s="1398">
        <f t="shared" si="36"/>
        <v>21.919564498841009</v>
      </c>
      <c r="CS8" s="1398">
        <f t="shared" si="36"/>
        <v>21.927342789857128</v>
      </c>
      <c r="CT8" s="1398">
        <f t="shared" si="36"/>
        <v>21.935123841047208</v>
      </c>
      <c r="CU8" s="1398">
        <f t="shared" si="36"/>
        <v>21.942907653390712</v>
      </c>
      <c r="CV8" s="1398">
        <f t="shared" si="36"/>
        <v>21.954886973541843</v>
      </c>
      <c r="CW8" s="1398">
        <f t="shared" si="36"/>
        <v>21.966872833578826</v>
      </c>
      <c r="CX8" s="1398">
        <f t="shared" si="36"/>
        <v>21.978865237071986</v>
      </c>
      <c r="CY8" s="1398">
        <f t="shared" si="36"/>
        <v>21.990864187593605</v>
      </c>
      <c r="CZ8" s="1398">
        <f t="shared" si="36"/>
        <v>22.002869688717904</v>
      </c>
    </row>
    <row r="9" spans="1:104" x14ac:dyDescent="0.25">
      <c r="A9" s="875" t="str">
        <f>'HyARC Physical Property Data'!A72</f>
        <v>Industrial Natural Gas</v>
      </c>
      <c r="B9" s="260">
        <v>2007</v>
      </c>
      <c r="C9" s="874">
        <f t="shared" ref="C9:C18" si="37">VLOOKUP(ref_year,DeflatorTable,2,FALSE)/VLOOKUP(B9,DeflatorTable,2,FALSE)</f>
        <v>1.1446359956438654</v>
      </c>
      <c r="D9" s="1260" t="str">
        <f>'HyARC Physical Property Data'!H72</f>
        <v>mmBtu</v>
      </c>
      <c r="E9" s="874" t="s">
        <v>1058</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6">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6">
        <f>1.14852629914794*BB9</f>
        <v>14.038959866915382</v>
      </c>
      <c r="BR9" s="260">
        <f t="shared" si="35"/>
        <v>14.177970183776685</v>
      </c>
      <c r="BS9" s="260">
        <f t="shared" si="35"/>
        <v>14.316980500637987</v>
      </c>
      <c r="BT9" s="260">
        <f t="shared" si="35"/>
        <v>14.455990817499289</v>
      </c>
      <c r="BU9" s="260">
        <f t="shared" si="35"/>
        <v>14.595001134360592</v>
      </c>
      <c r="BV9" s="1079">
        <f>1.04950876638265*BQ9</f>
        <v>14.734011451221894</v>
      </c>
      <c r="BW9" s="1398">
        <f>+BV9*BW$135/BV$135</f>
        <v>14.78293270163439</v>
      </c>
      <c r="BX9" s="1398">
        <f t="shared" ref="BX9:CZ9" si="38">+BW9*BX$135/BW$135</f>
        <v>14.832016384983078</v>
      </c>
      <c r="BY9" s="1398">
        <f t="shared" si="38"/>
        <v>14.881263040593069</v>
      </c>
      <c r="BZ9" s="1398">
        <f t="shared" si="38"/>
        <v>14.93067320958019</v>
      </c>
      <c r="CA9" s="1398">
        <f t="shared" si="38"/>
        <v>14.980247434856935</v>
      </c>
      <c r="CB9" s="1398">
        <f t="shared" si="38"/>
        <v>15.012214207912603</v>
      </c>
      <c r="CC9" s="1398">
        <f t="shared" si="38"/>
        <v>15.044249195768062</v>
      </c>
      <c r="CD9" s="1398">
        <f t="shared" si="38"/>
        <v>15.076352543988799</v>
      </c>
      <c r="CE9" s="1398">
        <f t="shared" si="38"/>
        <v>15.10852439845093</v>
      </c>
      <c r="CF9" s="1398">
        <f t="shared" si="38"/>
        <v>15.140764905341857</v>
      </c>
      <c r="CG9" s="1398">
        <f t="shared" si="38"/>
        <v>15.151233193414877</v>
      </c>
      <c r="CH9" s="1398">
        <f t="shared" si="38"/>
        <v>15.16170871923684</v>
      </c>
      <c r="CI9" s="1398">
        <f t="shared" si="38"/>
        <v>15.172191487811906</v>
      </c>
      <c r="CJ9" s="1398">
        <f t="shared" si="38"/>
        <v>15.182681504147698</v>
      </c>
      <c r="CK9" s="1398">
        <f t="shared" si="38"/>
        <v>15.193178773255301</v>
      </c>
      <c r="CL9" s="1398">
        <f t="shared" si="38"/>
        <v>15.196736881505712</v>
      </c>
      <c r="CM9" s="1398">
        <f t="shared" si="38"/>
        <v>15.200295823033644</v>
      </c>
      <c r="CN9" s="1398">
        <f t="shared" si="38"/>
        <v>15.20385559803424</v>
      </c>
      <c r="CO9" s="1398">
        <f t="shared" si="38"/>
        <v>15.207416206702694</v>
      </c>
      <c r="CP9" s="1398">
        <f t="shared" si="38"/>
        <v>15.210977649234243</v>
      </c>
      <c r="CQ9" s="1398">
        <f t="shared" si="38"/>
        <v>15.216375357332034</v>
      </c>
      <c r="CR9" s="1398">
        <f t="shared" si="38"/>
        <v>15.221774980839431</v>
      </c>
      <c r="CS9" s="1398">
        <f t="shared" si="38"/>
        <v>15.22717652043613</v>
      </c>
      <c r="CT9" s="1398">
        <f t="shared" si="38"/>
        <v>15.232579976802066</v>
      </c>
      <c r="CU9" s="1398">
        <f t="shared" si="38"/>
        <v>15.237985350617416</v>
      </c>
      <c r="CV9" s="1398">
        <f t="shared" si="38"/>
        <v>15.246304243804076</v>
      </c>
      <c r="CW9" s="1398">
        <f t="shared" si="38"/>
        <v>15.254627678534927</v>
      </c>
      <c r="CX9" s="1398">
        <f t="shared" si="38"/>
        <v>15.262955657289339</v>
      </c>
      <c r="CY9" s="1398">
        <f t="shared" si="38"/>
        <v>15.271288182548037</v>
      </c>
      <c r="CZ9" s="1398">
        <f t="shared" si="38"/>
        <v>15.279625256793102</v>
      </c>
    </row>
    <row r="10" spans="1:104" x14ac:dyDescent="0.25">
      <c r="A10" s="875" t="str">
        <f>'HyARC Physical Property Data'!A74</f>
        <v>Electric Utility Natural Gas</v>
      </c>
      <c r="B10" s="260">
        <v>2007</v>
      </c>
      <c r="C10" s="874">
        <f t="shared" si="37"/>
        <v>1.1446359956438654</v>
      </c>
      <c r="D10" s="1260" t="str">
        <f>'HyARC Physical Property Data'!H74</f>
        <v>mmBtu</v>
      </c>
      <c r="E10" s="874" t="s">
        <v>1058</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6">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6">
        <f>1.14852629914794*BB10</f>
        <v>13.467243108211756</v>
      </c>
      <c r="BR10" s="260">
        <f t="shared" si="35"/>
        <v>13.600592426784317</v>
      </c>
      <c r="BS10" s="260">
        <f t="shared" si="35"/>
        <v>13.733941745356878</v>
      </c>
      <c r="BT10" s="260">
        <f t="shared" si="35"/>
        <v>13.867291063929439</v>
      </c>
      <c r="BU10" s="260">
        <f t="shared" si="35"/>
        <v>14.000640382502</v>
      </c>
      <c r="BV10" s="1079">
        <f>1.04950876638265*BQ10</f>
        <v>14.133989701074563</v>
      </c>
      <c r="BW10" s="1398">
        <f>+BV10*BW$136/BV$136</f>
        <v>14.180918702845942</v>
      </c>
      <c r="BX10" s="1398">
        <f t="shared" ref="BX10:CZ10" si="39">+BW10*BX$136/BW$136</f>
        <v>14.22800352270222</v>
      </c>
      <c r="BY10" s="1398">
        <f t="shared" si="39"/>
        <v>14.275244678005262</v>
      </c>
      <c r="BZ10" s="1398">
        <f t="shared" si="39"/>
        <v>14.322642687834716</v>
      </c>
      <c r="CA10" s="1398">
        <f t="shared" si="39"/>
        <v>14.370198072993734</v>
      </c>
      <c r="CB10" s="1398">
        <f t="shared" si="39"/>
        <v>14.400863044487831</v>
      </c>
      <c r="CC10" s="1398">
        <f t="shared" si="39"/>
        <v>14.431593452830604</v>
      </c>
      <c r="CD10" s="1398">
        <f t="shared" si="39"/>
        <v>14.46238943765959</v>
      </c>
      <c r="CE10" s="1398">
        <f t="shared" si="39"/>
        <v>14.493251138910308</v>
      </c>
      <c r="CF10" s="1398">
        <f t="shared" si="39"/>
        <v>14.524178696816882</v>
      </c>
      <c r="CG10" s="1398">
        <f t="shared" si="39"/>
        <v>14.534220678683244</v>
      </c>
      <c r="CH10" s="1398">
        <f t="shared" si="39"/>
        <v>14.54426960355147</v>
      </c>
      <c r="CI10" s="1398">
        <f t="shared" si="39"/>
        <v>14.554325476221939</v>
      </c>
      <c r="CJ10" s="1398">
        <f t="shared" si="39"/>
        <v>14.564388301498344</v>
      </c>
      <c r="CK10" s="1398">
        <f t="shared" si="39"/>
        <v>14.574458084187699</v>
      </c>
      <c r="CL10" s="1398">
        <f t="shared" si="39"/>
        <v>14.577871293518578</v>
      </c>
      <c r="CM10" s="1398">
        <f t="shared" si="39"/>
        <v>14.581285302192933</v>
      </c>
      <c r="CN10" s="1398">
        <f t="shared" si="39"/>
        <v>14.584700110397959</v>
      </c>
      <c r="CO10" s="1398">
        <f t="shared" si="39"/>
        <v>14.5881157183209</v>
      </c>
      <c r="CP10" s="1398">
        <f t="shared" si="39"/>
        <v>14.591532126149042</v>
      </c>
      <c r="CQ10" s="1398">
        <f t="shared" si="39"/>
        <v>14.596710020228747</v>
      </c>
      <c r="CR10" s="1398">
        <f t="shared" si="39"/>
        <v>14.601889751715715</v>
      </c>
      <c r="CS10" s="1398">
        <f t="shared" si="39"/>
        <v>14.607071321261961</v>
      </c>
      <c r="CT10" s="1398">
        <f t="shared" si="39"/>
        <v>14.61225472951973</v>
      </c>
      <c r="CU10" s="1398">
        <f t="shared" si="39"/>
        <v>14.617439977141501</v>
      </c>
      <c r="CV10" s="1398">
        <f t="shared" si="39"/>
        <v>14.625420095184293</v>
      </c>
      <c r="CW10" s="1398">
        <f t="shared" si="39"/>
        <v>14.633404569823321</v>
      </c>
      <c r="CX10" s="1398">
        <f t="shared" si="39"/>
        <v>14.641393403436986</v>
      </c>
      <c r="CY10" s="1398">
        <f t="shared" si="39"/>
        <v>14.649386598404989</v>
      </c>
      <c r="CZ10" s="1398">
        <f t="shared" si="39"/>
        <v>14.65738415710833</v>
      </c>
    </row>
    <row r="11" spans="1:104" x14ac:dyDescent="0.25">
      <c r="A11" s="875" t="str">
        <f>'HyARC Physical Property Data'!A75</f>
        <v>Bio Methane</v>
      </c>
      <c r="B11" s="260">
        <v>2007</v>
      </c>
      <c r="C11" s="874">
        <f t="shared" si="37"/>
        <v>1.1446359956438654</v>
      </c>
      <c r="D11" s="1260" t="str">
        <f>'HyARC Physical Property Data'!H75</f>
        <v>mmBtu</v>
      </c>
      <c r="E11" s="874" t="s">
        <v>1058</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98">
        <f>+BV11*BW$136/BV$136</f>
        <v>14.271092726019944</v>
      </c>
      <c r="BX11" s="1398">
        <f t="shared" ref="BX11:CZ11" si="42">+BW11*BX$136/BW$136</f>
        <v>14.318476950147966</v>
      </c>
      <c r="BY11" s="1398">
        <f t="shared" si="42"/>
        <v>14.366018503832969</v>
      </c>
      <c r="BZ11" s="1398">
        <f t="shared" si="42"/>
        <v>14.413717909455341</v>
      </c>
      <c r="CA11" s="1398">
        <f t="shared" si="42"/>
        <v>14.461575691129934</v>
      </c>
      <c r="CB11" s="1398">
        <f t="shared" si="42"/>
        <v>14.49243565590395</v>
      </c>
      <c r="CC11" s="1398">
        <f t="shared" si="42"/>
        <v>14.523361473628309</v>
      </c>
      <c r="CD11" s="1398">
        <f t="shared" si="42"/>
        <v>14.554353284828478</v>
      </c>
      <c r="CE11" s="1398">
        <f t="shared" si="42"/>
        <v>14.585411230329802</v>
      </c>
      <c r="CF11" s="1398">
        <f t="shared" si="42"/>
        <v>14.616535451258134</v>
      </c>
      <c r="CG11" s="1398">
        <f t="shared" si="42"/>
        <v>14.626641288360148</v>
      </c>
      <c r="CH11" s="1398">
        <f t="shared" si="42"/>
        <v>14.636754112613382</v>
      </c>
      <c r="CI11" s="1398">
        <f t="shared" si="42"/>
        <v>14.646873928848736</v>
      </c>
      <c r="CJ11" s="1398">
        <f t="shared" si="42"/>
        <v>14.657000741900452</v>
      </c>
      <c r="CK11" s="1398">
        <f t="shared" si="42"/>
        <v>14.667134556606111</v>
      </c>
      <c r="CL11" s="1398">
        <f t="shared" si="42"/>
        <v>14.670569469948116</v>
      </c>
      <c r="CM11" s="1398">
        <f t="shared" si="42"/>
        <v>14.674005187716483</v>
      </c>
      <c r="CN11" s="1398">
        <f t="shared" si="42"/>
        <v>14.6774417100996</v>
      </c>
      <c r="CO11" s="1398">
        <f t="shared" si="42"/>
        <v>14.6808790372859</v>
      </c>
      <c r="CP11" s="1398">
        <f t="shared" si="42"/>
        <v>14.684317169463862</v>
      </c>
      <c r="CQ11" s="1398">
        <f t="shared" si="42"/>
        <v>14.689527988881515</v>
      </c>
      <c r="CR11" s="1398">
        <f t="shared" si="42"/>
        <v>14.69474065739019</v>
      </c>
      <c r="CS11" s="1398">
        <f t="shared" si="42"/>
        <v>14.699955175646044</v>
      </c>
      <c r="CT11" s="1398">
        <f t="shared" si="42"/>
        <v>14.705171544305472</v>
      </c>
      <c r="CU11" s="1398">
        <f t="shared" si="42"/>
        <v>14.710389764025104</v>
      </c>
      <c r="CV11" s="1398">
        <f t="shared" si="42"/>
        <v>14.718420626266095</v>
      </c>
      <c r="CW11" s="1398">
        <f t="shared" si="42"/>
        <v>14.726455872806168</v>
      </c>
      <c r="CX11" s="1398">
        <f t="shared" si="42"/>
        <v>14.734495506038849</v>
      </c>
      <c r="CY11" s="1398">
        <f t="shared" si="42"/>
        <v>14.74253952835897</v>
      </c>
      <c r="CZ11" s="1398">
        <f t="shared" si="42"/>
        <v>14.750587942162673</v>
      </c>
    </row>
    <row r="12" spans="1:104" x14ac:dyDescent="0.25">
      <c r="A12" s="964" t="str">
        <f>'HyARC Physical Property Data'!A85</f>
        <v>Woody Biomass</v>
      </c>
      <c r="B12" s="260">
        <v>2005</v>
      </c>
      <c r="C12" s="874">
        <f>VLOOKUP(ref_year,DeflatorTable,2,FALSE)/VLOOKUP(B12,DeflatorTable,2,FALSE)</f>
        <v>1.2112501494873942</v>
      </c>
      <c r="D12" s="1260" t="str">
        <f>+'HyARC Physical Property Data'!$H$85</f>
        <v>kg</v>
      </c>
      <c r="E12" s="901" t="s">
        <v>1052</v>
      </c>
      <c r="F12" s="260">
        <f>'HyARC Physical Property Data'!$E$45</f>
        <v>19.551069237418005</v>
      </c>
      <c r="G12" s="260">
        <f>'HyARC Physical Property Data'!$I$45</f>
        <v>20.588656379262464</v>
      </c>
      <c r="H12" s="965">
        <f t="shared" ref="H12:O12" si="43">1.27*($C$12)</f>
        <v>1.5382876898489906</v>
      </c>
      <c r="I12" s="965">
        <f t="shared" si="43"/>
        <v>1.5382876898489906</v>
      </c>
      <c r="J12" s="965">
        <f t="shared" si="43"/>
        <v>1.5382876898489906</v>
      </c>
      <c r="K12" s="965">
        <f t="shared" si="43"/>
        <v>1.5382876898489906</v>
      </c>
      <c r="L12" s="965">
        <f t="shared" si="43"/>
        <v>1.5382876898489906</v>
      </c>
      <c r="M12" s="965">
        <f t="shared" si="43"/>
        <v>1.5382876898489906</v>
      </c>
      <c r="N12" s="965">
        <f t="shared" si="43"/>
        <v>1.5382876898489906</v>
      </c>
      <c r="O12" s="965">
        <f t="shared" si="43"/>
        <v>1.5382876898489906</v>
      </c>
      <c r="P12" s="965">
        <f>1.28*($C$12)</f>
        <v>1.5504001913438645</v>
      </c>
      <c r="Q12" s="965">
        <f>1.32*($C$12)</f>
        <v>1.5988501973233604</v>
      </c>
      <c r="R12" s="965">
        <f>1.32*($C$12)</f>
        <v>1.5988501973233604</v>
      </c>
      <c r="S12" s="965">
        <f>1.34*($C$12)</f>
        <v>1.6230752003131084</v>
      </c>
      <c r="T12" s="965">
        <f>1.34*($C$12)</f>
        <v>1.6230752003131084</v>
      </c>
      <c r="U12" s="965">
        <f>1.36*($C$12)</f>
        <v>1.6473002033028561</v>
      </c>
      <c r="V12" s="965">
        <f>1.36*($C$12)</f>
        <v>1.6473002033028561</v>
      </c>
      <c r="W12" s="965">
        <f>1.38*($C$12)</f>
        <v>1.6715252062926038</v>
      </c>
      <c r="X12" s="965">
        <f>1.4*($C$12)</f>
        <v>1.6957502092823518</v>
      </c>
      <c r="Y12" s="965">
        <f>1.46*($C$12)</f>
        <v>1.7684252182515954</v>
      </c>
      <c r="Z12" s="965">
        <f>1.48*($C$12)</f>
        <v>1.7926502212413433</v>
      </c>
      <c r="AA12" s="965">
        <f>1.48*($C$12)</f>
        <v>1.7926502212413433</v>
      </c>
      <c r="AB12" s="965">
        <f>1.51*($C$12)</f>
        <v>1.8289877257259652</v>
      </c>
      <c r="AC12" s="965">
        <f>1.52*($C$12)</f>
        <v>1.8411002272208392</v>
      </c>
      <c r="AD12" s="965">
        <f>1.62*($C$12)</f>
        <v>1.9622252421695787</v>
      </c>
      <c r="AE12" s="965">
        <f>1.72*($C$12)</f>
        <v>2.083350257118318</v>
      </c>
      <c r="AF12" s="965">
        <f>1.82*($C$12)</f>
        <v>2.2044752720670573</v>
      </c>
      <c r="AG12" s="965">
        <f>1.91*($C$12)</f>
        <v>2.3134877855209228</v>
      </c>
      <c r="AH12" s="965">
        <f>2.01*($C$12)</f>
        <v>2.4346128004696621</v>
      </c>
      <c r="AI12" s="965">
        <f>2.11*($C$12)</f>
        <v>2.5557378154184014</v>
      </c>
      <c r="AJ12" s="965">
        <f>2.2*($C$12)</f>
        <v>2.6647503288722674</v>
      </c>
      <c r="AK12" s="965">
        <f>2.3*($C$12)</f>
        <v>2.7858753438210062</v>
      </c>
      <c r="AL12" s="965">
        <f>2.4*($C$12)</f>
        <v>2.9070003587697459</v>
      </c>
      <c r="AM12" s="965">
        <f>2.5*($C$12)</f>
        <v>3.0281253737184857</v>
      </c>
      <c r="AN12" s="965">
        <f>2.57*($C$12)</f>
        <v>3.1129128841826028</v>
      </c>
      <c r="AO12" s="965">
        <f>2.64*($C$12)</f>
        <v>3.1977003946467208</v>
      </c>
      <c r="AP12" s="965">
        <f>2.71*($C$12)</f>
        <v>3.282487905110838</v>
      </c>
      <c r="AQ12" s="965">
        <f>2.78*($C$12)</f>
        <v>3.3672754155749556</v>
      </c>
      <c r="AR12" s="965">
        <f>2.85*($C$12)</f>
        <v>3.4520629260390736</v>
      </c>
      <c r="AS12" s="965">
        <f>2.92*($C$12)</f>
        <v>3.5368504365031908</v>
      </c>
      <c r="AT12" s="965">
        <f>2.99*($C$12)</f>
        <v>3.6216379469673088</v>
      </c>
      <c r="AU12" s="965">
        <f>3.07*($C$12)</f>
        <v>3.7185379589263001</v>
      </c>
      <c r="AV12" s="965">
        <f>3.14*($C$12)</f>
        <v>3.8033254693904177</v>
      </c>
      <c r="AW12" s="965">
        <f>3.21*($C$12)</f>
        <v>3.8881129798545353</v>
      </c>
      <c r="AX12" s="965">
        <f>3.28*($C$12)</f>
        <v>3.9729004903186529</v>
      </c>
      <c r="AY12" s="965">
        <f>3.35*($C$12)</f>
        <v>4.0576880007827709</v>
      </c>
      <c r="AZ12" s="965">
        <f>3.42*($C$12)</f>
        <v>4.1424755112468876</v>
      </c>
      <c r="BA12" s="965">
        <f>3.49*($C$12)</f>
        <v>4.2272630217110061</v>
      </c>
      <c r="BB12" s="965">
        <f>3.56*($C$12)</f>
        <v>4.3120505321751237</v>
      </c>
      <c r="BC12" s="965">
        <f>3.64*($C$12)</f>
        <v>4.4089505441341146</v>
      </c>
      <c r="BD12" s="965">
        <f>3.71*($C$12)</f>
        <v>4.4937380545982322</v>
      </c>
      <c r="BE12" s="965">
        <f>3.78*($C$12)</f>
        <v>4.5785255650623498</v>
      </c>
      <c r="BF12" s="965">
        <f>3.85*($C$12)</f>
        <v>4.6633130755264673</v>
      </c>
      <c r="BG12" s="965">
        <f>3.92*($C$12)</f>
        <v>4.7481005859905849</v>
      </c>
      <c r="BH12" s="965">
        <f>3.99*($C$12)</f>
        <v>4.8328880964547034</v>
      </c>
      <c r="BI12" s="965">
        <f>4.06*($C$12)</f>
        <v>4.9176756069188201</v>
      </c>
      <c r="BJ12" s="965">
        <f>4.14*($C$12)</f>
        <v>5.0145756188778119</v>
      </c>
      <c r="BK12" s="965">
        <f>4.21*($C$12)</f>
        <v>5.0993631293419295</v>
      </c>
      <c r="BL12" s="965">
        <f>4.28*($C$12)</f>
        <v>5.1841506398060471</v>
      </c>
      <c r="BM12" s="965">
        <f>4.35*($C$12)</f>
        <v>5.2689381502701647</v>
      </c>
      <c r="BN12" s="965">
        <f>4.42*($C$12)</f>
        <v>5.3537256607342822</v>
      </c>
      <c r="BO12" s="965">
        <f>4.49*($C$12)</f>
        <v>5.4385131711983998</v>
      </c>
      <c r="BP12" s="965">
        <f>4.56*($C$12)</f>
        <v>5.5233006816625174</v>
      </c>
      <c r="BQ12" s="965">
        <f>4.63*($C$12)</f>
        <v>5.608088192126635</v>
      </c>
      <c r="BR12" s="965">
        <f>4.71*($C$12)</f>
        <v>5.7049882040856268</v>
      </c>
      <c r="BS12" s="965">
        <f>4.78*($C$12)</f>
        <v>5.7897757145497444</v>
      </c>
      <c r="BT12" s="965">
        <f>4.85*($C$12)</f>
        <v>5.8745632250138611</v>
      </c>
      <c r="BU12" s="965">
        <f>4.92*($C$12)</f>
        <v>5.9593507354779796</v>
      </c>
      <c r="BV12" s="966">
        <f>4.99*($C$12)</f>
        <v>6.0441382459420971</v>
      </c>
      <c r="BW12" s="1398">
        <f>+BV12*BW$137/BV$137</f>
        <v>6.0586659764672328</v>
      </c>
      <c r="BX12" s="1398">
        <f t="shared" ref="BX12:CZ12" si="44">+BW12*BX$137/BW$137</f>
        <v>6.0732286259412112</v>
      </c>
      <c r="BY12" s="1398">
        <f t="shared" si="44"/>
        <v>6.0878262782954495</v>
      </c>
      <c r="BZ12" s="1398">
        <f t="shared" si="44"/>
        <v>6.1024590176630999</v>
      </c>
      <c r="CA12" s="1398">
        <f t="shared" si="44"/>
        <v>6.1171269283795393</v>
      </c>
      <c r="CB12" s="1398">
        <f t="shared" si="44"/>
        <v>6.1299667153690152</v>
      </c>
      <c r="CC12" s="1398">
        <f t="shared" si="44"/>
        <v>6.1428334529403346</v>
      </c>
      <c r="CD12" s="1398">
        <f t="shared" si="44"/>
        <v>6.155727197662495</v>
      </c>
      <c r="CE12" s="1398">
        <f t="shared" si="44"/>
        <v>6.1686480062232301</v>
      </c>
      <c r="CF12" s="1398">
        <f t="shared" si="44"/>
        <v>6.18159593542926</v>
      </c>
      <c r="CG12" s="1398">
        <f t="shared" si="44"/>
        <v>6.197524392005751</v>
      </c>
      <c r="CH12" s="1398">
        <f t="shared" si="44"/>
        <v>6.2134938923080965</v>
      </c>
      <c r="CI12" s="1398">
        <f t="shared" si="44"/>
        <v>6.229504542095909</v>
      </c>
      <c r="CJ12" s="1398">
        <f t="shared" si="44"/>
        <v>6.245556447401321</v>
      </c>
      <c r="CK12" s="1398">
        <f t="shared" si="44"/>
        <v>6.2616497145296828</v>
      </c>
      <c r="CL12" s="1398">
        <f t="shared" si="44"/>
        <v>6.2750522655841658</v>
      </c>
      <c r="CM12" s="1398">
        <f t="shared" si="44"/>
        <v>6.2884835037072264</v>
      </c>
      <c r="CN12" s="1398">
        <f t="shared" si="44"/>
        <v>6.3019434903011975</v>
      </c>
      <c r="CO12" s="1398">
        <f t="shared" si="44"/>
        <v>6.3154322868998385</v>
      </c>
      <c r="CP12" s="1398">
        <f t="shared" si="44"/>
        <v>6.3289499551686168</v>
      </c>
      <c r="CQ12" s="1398">
        <f t="shared" si="44"/>
        <v>6.3413225489579119</v>
      </c>
      <c r="CR12" s="1398">
        <f t="shared" si="44"/>
        <v>6.3537193301840116</v>
      </c>
      <c r="CS12" s="1398">
        <f t="shared" si="44"/>
        <v>6.3661403461314299</v>
      </c>
      <c r="CT12" s="1398">
        <f t="shared" si="44"/>
        <v>6.3785856441771198</v>
      </c>
      <c r="CU12" s="1398">
        <f t="shared" si="44"/>
        <v>6.3910552717906537</v>
      </c>
      <c r="CV12" s="1398">
        <f t="shared" si="44"/>
        <v>6.4057772391562917</v>
      </c>
      <c r="CW12" s="1398">
        <f t="shared" si="44"/>
        <v>6.4205331189689208</v>
      </c>
      <c r="CX12" s="1398">
        <f t="shared" si="44"/>
        <v>6.4353229893467718</v>
      </c>
      <c r="CY12" s="1398">
        <f t="shared" si="44"/>
        <v>6.4501469285880244</v>
      </c>
      <c r="CZ12" s="1398">
        <f t="shared" si="44"/>
        <v>6.4650050151712186</v>
      </c>
    </row>
    <row r="13" spans="1:104" x14ac:dyDescent="0.25">
      <c r="A13" s="964" t="str">
        <f>'HyARC Physical Property Data'!A86</f>
        <v>Woody Biomass B2A</v>
      </c>
      <c r="B13" s="260">
        <v>2007</v>
      </c>
      <c r="C13" s="874">
        <f>VLOOKUP(ref_year,DeflatorTable,2,FALSE)/VLOOKUP(B13,DeflatorTable,2,FALSE)</f>
        <v>1.1446359956438654</v>
      </c>
      <c r="D13" s="1260" t="str">
        <f>+'HyARC Physical Property Data'!$H$86</f>
        <v>kg</v>
      </c>
      <c r="E13" s="901" t="s">
        <v>1052</v>
      </c>
      <c r="F13" s="260">
        <f>'HyARC Physical Property Data'!$E$45</f>
        <v>19.551069237418005</v>
      </c>
      <c r="G13" s="260">
        <f>'HyARC Physical Property Data'!$I$45</f>
        <v>20.588656379262464</v>
      </c>
      <c r="H13" s="965">
        <f>3.80872262322035*($C$13)</f>
        <v>4.3596010119611401</v>
      </c>
      <c r="I13" s="965">
        <f>3.80872262322035*($C$13)</f>
        <v>4.3596010119611401</v>
      </c>
      <c r="J13" s="965">
        <f>3.80872262322035*($C$13)</f>
        <v>4.3596010119611401</v>
      </c>
      <c r="K13" s="965">
        <f>3.80872262322035*($C$13)</f>
        <v>4.3596010119611401</v>
      </c>
      <c r="L13" s="965">
        <f>3.58036841709093*($C$13)</f>
        <v>4.0982185678687273</v>
      </c>
      <c r="M13" s="965">
        <f>3.28153451771169*($C$13)</f>
        <v>3.756162529920632</v>
      </c>
      <c r="N13" s="965">
        <f>3.05599949931226*($C$13)</f>
        <v>3.498007029582443</v>
      </c>
      <c r="O13" s="965">
        <f>2.9206784882726*($C$13)</f>
        <v>3.3431137293795268</v>
      </c>
      <c r="P13" s="965">
        <f t="shared" ref="P13:BV13" si="45">2.85865635821276*($C$13)</f>
        <v>3.2721209667865292</v>
      </c>
      <c r="Q13" s="965">
        <f t="shared" si="45"/>
        <v>3.2721209667865292</v>
      </c>
      <c r="R13" s="965">
        <f t="shared" si="45"/>
        <v>3.2721209667865292</v>
      </c>
      <c r="S13" s="965">
        <f t="shared" si="45"/>
        <v>3.2721209667865292</v>
      </c>
      <c r="T13" s="965">
        <f t="shared" si="45"/>
        <v>3.2721209667865292</v>
      </c>
      <c r="U13" s="965">
        <f t="shared" si="45"/>
        <v>3.2721209667865292</v>
      </c>
      <c r="V13" s="965">
        <f t="shared" si="45"/>
        <v>3.2721209667865292</v>
      </c>
      <c r="W13" s="965">
        <f t="shared" si="45"/>
        <v>3.2721209667865292</v>
      </c>
      <c r="X13" s="965">
        <f t="shared" si="45"/>
        <v>3.2721209667865292</v>
      </c>
      <c r="Y13" s="965">
        <f t="shared" si="45"/>
        <v>3.2721209667865292</v>
      </c>
      <c r="Z13" s="965">
        <f t="shared" si="45"/>
        <v>3.2721209667865292</v>
      </c>
      <c r="AA13" s="965">
        <f t="shared" si="45"/>
        <v>3.2721209667865292</v>
      </c>
      <c r="AB13" s="965">
        <f t="shared" si="45"/>
        <v>3.2721209667865292</v>
      </c>
      <c r="AC13" s="965">
        <f t="shared" si="45"/>
        <v>3.2721209667865292</v>
      </c>
      <c r="AD13" s="965">
        <f t="shared" si="45"/>
        <v>3.2721209667865292</v>
      </c>
      <c r="AE13" s="965">
        <f t="shared" si="45"/>
        <v>3.2721209667865292</v>
      </c>
      <c r="AF13" s="965">
        <f t="shared" si="45"/>
        <v>3.2721209667865292</v>
      </c>
      <c r="AG13" s="965">
        <f t="shared" si="45"/>
        <v>3.2721209667865292</v>
      </c>
      <c r="AH13" s="965">
        <f t="shared" si="45"/>
        <v>3.2721209667865292</v>
      </c>
      <c r="AI13" s="965">
        <f t="shared" si="45"/>
        <v>3.2721209667865292</v>
      </c>
      <c r="AJ13" s="965">
        <f t="shared" si="45"/>
        <v>3.2721209667865292</v>
      </c>
      <c r="AK13" s="965">
        <f t="shared" si="45"/>
        <v>3.2721209667865292</v>
      </c>
      <c r="AL13" s="965">
        <f t="shared" si="45"/>
        <v>3.2721209667865292</v>
      </c>
      <c r="AM13" s="965">
        <f t="shared" si="45"/>
        <v>3.2721209667865292</v>
      </c>
      <c r="AN13" s="965">
        <f t="shared" si="45"/>
        <v>3.2721209667865292</v>
      </c>
      <c r="AO13" s="965">
        <f t="shared" si="45"/>
        <v>3.2721209667865292</v>
      </c>
      <c r="AP13" s="965">
        <f t="shared" si="45"/>
        <v>3.2721209667865292</v>
      </c>
      <c r="AQ13" s="965">
        <f t="shared" si="45"/>
        <v>3.2721209667865292</v>
      </c>
      <c r="AR13" s="965">
        <f t="shared" si="45"/>
        <v>3.2721209667865292</v>
      </c>
      <c r="AS13" s="965">
        <f t="shared" si="45"/>
        <v>3.2721209667865292</v>
      </c>
      <c r="AT13" s="965">
        <f t="shared" si="45"/>
        <v>3.2721209667865292</v>
      </c>
      <c r="AU13" s="965">
        <f t="shared" si="45"/>
        <v>3.2721209667865292</v>
      </c>
      <c r="AV13" s="965">
        <f t="shared" si="45"/>
        <v>3.2721209667865292</v>
      </c>
      <c r="AW13" s="965">
        <f t="shared" si="45"/>
        <v>3.2721209667865292</v>
      </c>
      <c r="AX13" s="965">
        <f t="shared" si="45"/>
        <v>3.2721209667865292</v>
      </c>
      <c r="AY13" s="965">
        <f t="shared" si="45"/>
        <v>3.2721209667865292</v>
      </c>
      <c r="AZ13" s="965">
        <f t="shared" si="45"/>
        <v>3.2721209667865292</v>
      </c>
      <c r="BA13" s="965">
        <f t="shared" si="45"/>
        <v>3.2721209667865292</v>
      </c>
      <c r="BB13" s="965">
        <f t="shared" si="45"/>
        <v>3.2721209667865292</v>
      </c>
      <c r="BC13" s="965">
        <f t="shared" si="45"/>
        <v>3.2721209667865292</v>
      </c>
      <c r="BD13" s="965">
        <f t="shared" si="45"/>
        <v>3.2721209667865292</v>
      </c>
      <c r="BE13" s="965">
        <f t="shared" si="45"/>
        <v>3.2721209667865292</v>
      </c>
      <c r="BF13" s="965">
        <f t="shared" si="45"/>
        <v>3.2721209667865292</v>
      </c>
      <c r="BG13" s="965">
        <f t="shared" si="45"/>
        <v>3.2721209667865292</v>
      </c>
      <c r="BH13" s="965">
        <f t="shared" si="45"/>
        <v>3.2721209667865292</v>
      </c>
      <c r="BI13" s="965">
        <f t="shared" si="45"/>
        <v>3.2721209667865292</v>
      </c>
      <c r="BJ13" s="965">
        <f t="shared" si="45"/>
        <v>3.2721209667865292</v>
      </c>
      <c r="BK13" s="965">
        <f t="shared" si="45"/>
        <v>3.2721209667865292</v>
      </c>
      <c r="BL13" s="965">
        <f t="shared" si="45"/>
        <v>3.2721209667865292</v>
      </c>
      <c r="BM13" s="965">
        <f t="shared" si="45"/>
        <v>3.2721209667865292</v>
      </c>
      <c r="BN13" s="965">
        <f t="shared" si="45"/>
        <v>3.2721209667865292</v>
      </c>
      <c r="BO13" s="965">
        <f t="shared" si="45"/>
        <v>3.2721209667865292</v>
      </c>
      <c r="BP13" s="965">
        <f t="shared" si="45"/>
        <v>3.2721209667865292</v>
      </c>
      <c r="BQ13" s="965">
        <f t="shared" si="45"/>
        <v>3.2721209667865292</v>
      </c>
      <c r="BR13" s="965">
        <f t="shared" si="45"/>
        <v>3.2721209667865292</v>
      </c>
      <c r="BS13" s="965">
        <f t="shared" si="45"/>
        <v>3.2721209667865292</v>
      </c>
      <c r="BT13" s="965">
        <f t="shared" si="45"/>
        <v>3.2721209667865292</v>
      </c>
      <c r="BU13" s="965">
        <f t="shared" si="45"/>
        <v>3.2721209667865292</v>
      </c>
      <c r="BV13" s="966">
        <f t="shared" si="45"/>
        <v>3.2721209667865292</v>
      </c>
      <c r="BW13" s="1398">
        <f>+BV13*BW$137/BV$137</f>
        <v>3.2799858583089949</v>
      </c>
      <c r="BX13" s="1398">
        <f t="shared" ref="BX13:CZ13" si="46">+BW13*BX$137/BW$137</f>
        <v>3.2878696539365619</v>
      </c>
      <c r="BY13" s="1398">
        <f t="shared" si="46"/>
        <v>3.2957723991072623</v>
      </c>
      <c r="BZ13" s="1398">
        <f t="shared" si="46"/>
        <v>3.3036941393683414</v>
      </c>
      <c r="CA13" s="1398">
        <f t="shared" si="46"/>
        <v>3.3116349203765254</v>
      </c>
      <c r="CB13" s="1398">
        <f t="shared" si="46"/>
        <v>3.3185860082748779</v>
      </c>
      <c r="CC13" s="1398">
        <f t="shared" si="46"/>
        <v>3.3255516864357837</v>
      </c>
      <c r="CD13" s="1398">
        <f t="shared" si="46"/>
        <v>3.332531985484056</v>
      </c>
      <c r="CE13" s="1398">
        <f t="shared" si="46"/>
        <v>3.3395269361087871</v>
      </c>
      <c r="CF13" s="1398">
        <f t="shared" si="46"/>
        <v>3.3465365690634874</v>
      </c>
      <c r="CG13" s="1398">
        <f t="shared" si="46"/>
        <v>3.3551597730028546</v>
      </c>
      <c r="CH13" s="1398">
        <f t="shared" si="46"/>
        <v>3.3638051968237757</v>
      </c>
      <c r="CI13" s="1398">
        <f t="shared" si="46"/>
        <v>3.3724728977814351</v>
      </c>
      <c r="CJ13" s="1398">
        <f t="shared" si="46"/>
        <v>3.3811629332785507</v>
      </c>
      <c r="CK13" s="1398">
        <f t="shared" si="46"/>
        <v>3.3898753608657524</v>
      </c>
      <c r="CL13" s="1398">
        <f t="shared" si="46"/>
        <v>3.3971311128901611</v>
      </c>
      <c r="CM13" s="1398">
        <f t="shared" si="46"/>
        <v>3.4044023952606257</v>
      </c>
      <c r="CN13" s="1398">
        <f t="shared" si="46"/>
        <v>3.4116892412185864</v>
      </c>
      <c r="CO13" s="1398">
        <f t="shared" si="46"/>
        <v>3.4189916840766337</v>
      </c>
      <c r="CP13" s="1398">
        <f t="shared" si="46"/>
        <v>3.4263097572186623</v>
      </c>
      <c r="CQ13" s="1398">
        <f t="shared" si="46"/>
        <v>3.4330079202824653</v>
      </c>
      <c r="CR13" s="1398">
        <f t="shared" si="46"/>
        <v>3.4397191777223193</v>
      </c>
      <c r="CS13" s="1398">
        <f t="shared" si="46"/>
        <v>3.4464435551366885</v>
      </c>
      <c r="CT13" s="1398">
        <f t="shared" si="46"/>
        <v>3.453181078174079</v>
      </c>
      <c r="CU13" s="1398">
        <f t="shared" si="46"/>
        <v>3.4599317725331393</v>
      </c>
      <c r="CV13" s="1398">
        <f t="shared" si="46"/>
        <v>3.467901818241772</v>
      </c>
      <c r="CW13" s="1398">
        <f t="shared" si="46"/>
        <v>3.4758902231646247</v>
      </c>
      <c r="CX13" s="1398">
        <f t="shared" si="46"/>
        <v>3.4838970295926392</v>
      </c>
      <c r="CY13" s="1398">
        <f t="shared" si="46"/>
        <v>3.4919222799141783</v>
      </c>
      <c r="CZ13" s="1398">
        <f t="shared" si="46"/>
        <v>3.4999660166152444</v>
      </c>
    </row>
    <row r="14" spans="1:104" x14ac:dyDescent="0.25">
      <c r="A14" s="964" t="str">
        <f>'HyARC Physical Property Data'!$A$87</f>
        <v>Woody Biomass MYPP</v>
      </c>
      <c r="B14" s="260">
        <v>2007</v>
      </c>
      <c r="C14" s="874">
        <f>VLOOKUP(ref_year,DeflatorTable,2,FALSE)/VLOOKUP(B14,DeflatorTable,2,FALSE)</f>
        <v>1.1446359956438654</v>
      </c>
      <c r="D14" s="1260" t="str">
        <f>+'HyARC Physical Property Data'!$H$87</f>
        <v>kg</v>
      </c>
      <c r="E14" s="901" t="s">
        <v>1052</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5">
        <f t="shared" ref="O14:T14" si="48">N14-($N$14-$U$14)/7</f>
        <v>4.9664808197552768</v>
      </c>
      <c r="P14" s="965">
        <f t="shared" si="48"/>
        <v>4.8458272435653873</v>
      </c>
      <c r="Q14" s="965">
        <f t="shared" si="48"/>
        <v>4.7251736673754978</v>
      </c>
      <c r="R14" s="965">
        <f t="shared" si="48"/>
        <v>4.6045200911856083</v>
      </c>
      <c r="S14" s="965">
        <f t="shared" si="48"/>
        <v>4.4838665149957189</v>
      </c>
      <c r="T14" s="965">
        <f t="shared" si="48"/>
        <v>4.3632129388058294</v>
      </c>
      <c r="U14" s="965">
        <f>3.70647033533964*$C$14</f>
        <v>4.2425593626159408</v>
      </c>
      <c r="V14" s="965">
        <f t="shared" ref="V14:BV14" si="49">3.70647033533964*$C$14</f>
        <v>4.2425593626159408</v>
      </c>
      <c r="W14" s="965">
        <f t="shared" si="49"/>
        <v>4.2425593626159408</v>
      </c>
      <c r="X14" s="965">
        <f t="shared" si="49"/>
        <v>4.2425593626159408</v>
      </c>
      <c r="Y14" s="965">
        <f t="shared" si="49"/>
        <v>4.2425593626159408</v>
      </c>
      <c r="Z14" s="965">
        <f t="shared" si="49"/>
        <v>4.2425593626159408</v>
      </c>
      <c r="AA14" s="965">
        <f t="shared" si="49"/>
        <v>4.2425593626159408</v>
      </c>
      <c r="AB14" s="965">
        <f t="shared" si="49"/>
        <v>4.2425593626159408</v>
      </c>
      <c r="AC14" s="965">
        <f t="shared" si="49"/>
        <v>4.2425593626159408</v>
      </c>
      <c r="AD14" s="965">
        <f t="shared" si="49"/>
        <v>4.2425593626159408</v>
      </c>
      <c r="AE14" s="965">
        <f t="shared" si="49"/>
        <v>4.2425593626159408</v>
      </c>
      <c r="AF14" s="965">
        <f t="shared" si="49"/>
        <v>4.2425593626159408</v>
      </c>
      <c r="AG14" s="965">
        <f t="shared" si="49"/>
        <v>4.2425593626159408</v>
      </c>
      <c r="AH14" s="965">
        <f t="shared" si="49"/>
        <v>4.2425593626159408</v>
      </c>
      <c r="AI14" s="965">
        <f t="shared" si="49"/>
        <v>4.2425593626159408</v>
      </c>
      <c r="AJ14" s="965">
        <f t="shared" si="49"/>
        <v>4.2425593626159408</v>
      </c>
      <c r="AK14" s="965">
        <f t="shared" si="49"/>
        <v>4.2425593626159408</v>
      </c>
      <c r="AL14" s="965">
        <f t="shared" si="49"/>
        <v>4.2425593626159408</v>
      </c>
      <c r="AM14" s="965">
        <f t="shared" si="49"/>
        <v>4.2425593626159408</v>
      </c>
      <c r="AN14" s="965">
        <f t="shared" si="49"/>
        <v>4.2425593626159408</v>
      </c>
      <c r="AO14" s="965">
        <f t="shared" si="49"/>
        <v>4.2425593626159408</v>
      </c>
      <c r="AP14" s="965">
        <f t="shared" si="49"/>
        <v>4.2425593626159408</v>
      </c>
      <c r="AQ14" s="965">
        <f t="shared" si="49"/>
        <v>4.2425593626159408</v>
      </c>
      <c r="AR14" s="965">
        <f t="shared" si="49"/>
        <v>4.2425593626159408</v>
      </c>
      <c r="AS14" s="965">
        <f t="shared" si="49"/>
        <v>4.2425593626159408</v>
      </c>
      <c r="AT14" s="965">
        <f t="shared" si="49"/>
        <v>4.2425593626159408</v>
      </c>
      <c r="AU14" s="965">
        <f t="shared" si="49"/>
        <v>4.2425593626159408</v>
      </c>
      <c r="AV14" s="965">
        <f t="shared" si="49"/>
        <v>4.2425593626159408</v>
      </c>
      <c r="AW14" s="965">
        <f t="shared" si="49"/>
        <v>4.2425593626159408</v>
      </c>
      <c r="AX14" s="965">
        <f t="shared" si="49"/>
        <v>4.2425593626159408</v>
      </c>
      <c r="AY14" s="965">
        <f t="shared" si="49"/>
        <v>4.2425593626159408</v>
      </c>
      <c r="AZ14" s="965">
        <f t="shared" si="49"/>
        <v>4.2425593626159408</v>
      </c>
      <c r="BA14" s="965">
        <f t="shared" si="49"/>
        <v>4.2425593626159408</v>
      </c>
      <c r="BB14" s="965">
        <f t="shared" si="49"/>
        <v>4.2425593626159408</v>
      </c>
      <c r="BC14" s="965">
        <f t="shared" si="49"/>
        <v>4.2425593626159408</v>
      </c>
      <c r="BD14" s="965">
        <f t="shared" si="49"/>
        <v>4.2425593626159408</v>
      </c>
      <c r="BE14" s="965">
        <f t="shared" si="49"/>
        <v>4.2425593626159408</v>
      </c>
      <c r="BF14" s="965">
        <f t="shared" si="49"/>
        <v>4.2425593626159408</v>
      </c>
      <c r="BG14" s="965">
        <f t="shared" si="49"/>
        <v>4.2425593626159408</v>
      </c>
      <c r="BH14" s="965">
        <f t="shared" si="49"/>
        <v>4.2425593626159408</v>
      </c>
      <c r="BI14" s="965">
        <f t="shared" si="49"/>
        <v>4.2425593626159408</v>
      </c>
      <c r="BJ14" s="965">
        <f t="shared" si="49"/>
        <v>4.2425593626159408</v>
      </c>
      <c r="BK14" s="965">
        <f t="shared" si="49"/>
        <v>4.2425593626159408</v>
      </c>
      <c r="BL14" s="965">
        <f t="shared" si="49"/>
        <v>4.2425593626159408</v>
      </c>
      <c r="BM14" s="965">
        <f t="shared" si="49"/>
        <v>4.2425593626159408</v>
      </c>
      <c r="BN14" s="965">
        <f t="shared" si="49"/>
        <v>4.2425593626159408</v>
      </c>
      <c r="BO14" s="965">
        <f t="shared" si="49"/>
        <v>4.2425593626159408</v>
      </c>
      <c r="BP14" s="965">
        <f t="shared" si="49"/>
        <v>4.2425593626159408</v>
      </c>
      <c r="BQ14" s="965">
        <f t="shared" si="49"/>
        <v>4.2425593626159408</v>
      </c>
      <c r="BR14" s="965">
        <f t="shared" si="49"/>
        <v>4.2425593626159408</v>
      </c>
      <c r="BS14" s="965">
        <f t="shared" si="49"/>
        <v>4.2425593626159408</v>
      </c>
      <c r="BT14" s="965">
        <f t="shared" si="49"/>
        <v>4.2425593626159408</v>
      </c>
      <c r="BU14" s="965">
        <f t="shared" si="49"/>
        <v>4.2425593626159408</v>
      </c>
      <c r="BV14" s="965">
        <f t="shared" si="49"/>
        <v>4.2425593626159408</v>
      </c>
      <c r="BW14" s="1398">
        <f>+BV14*BW$137/BV$137</f>
        <v>4.2527568062628252</v>
      </c>
      <c r="BX14" s="1398">
        <f t="shared" ref="BX14:CZ14" si="50">+BW14*BX$137/BW$137</f>
        <v>4.2629787605524712</v>
      </c>
      <c r="BY14" s="1398">
        <f t="shared" si="50"/>
        <v>4.2732252843988219</v>
      </c>
      <c r="BZ14" s="1398">
        <f t="shared" si="50"/>
        <v>4.2834964368574244</v>
      </c>
      <c r="CA14" s="1398">
        <f t="shared" si="50"/>
        <v>4.2937922771257746</v>
      </c>
      <c r="CB14" s="1398">
        <f t="shared" si="50"/>
        <v>4.302804903291757</v>
      </c>
      <c r="CC14" s="1398">
        <f t="shared" si="50"/>
        <v>4.3118364468680763</v>
      </c>
      <c r="CD14" s="1398">
        <f t="shared" si="50"/>
        <v>4.3208869475621841</v>
      </c>
      <c r="CE14" s="1398">
        <f t="shared" si="50"/>
        <v>4.3299564451648767</v>
      </c>
      <c r="CF14" s="1398">
        <f t="shared" si="50"/>
        <v>4.3390449795504713</v>
      </c>
      <c r="CG14" s="1398">
        <f t="shared" si="50"/>
        <v>4.3502256342328796</v>
      </c>
      <c r="CH14" s="1398">
        <f t="shared" si="50"/>
        <v>4.361435098720146</v>
      </c>
      <c r="CI14" s="1398">
        <f t="shared" si="50"/>
        <v>4.3726734472480695</v>
      </c>
      <c r="CJ14" s="1398">
        <f t="shared" si="50"/>
        <v>4.3839407542437394</v>
      </c>
      <c r="CK14" s="1398">
        <f t="shared" si="50"/>
        <v>4.3952370943260251</v>
      </c>
      <c r="CL14" s="1398">
        <f t="shared" si="50"/>
        <v>4.4046447412304142</v>
      </c>
      <c r="CM14" s="1398">
        <f t="shared" si="50"/>
        <v>4.4140725244365262</v>
      </c>
      <c r="CN14" s="1398">
        <f t="shared" si="50"/>
        <v>4.4235204870444758</v>
      </c>
      <c r="CO14" s="1398">
        <f t="shared" si="50"/>
        <v>4.4329886722466272</v>
      </c>
      <c r="CP14" s="1398">
        <f t="shared" si="50"/>
        <v>4.4424771233277953</v>
      </c>
      <c r="CQ14" s="1398">
        <f t="shared" si="50"/>
        <v>4.4511618127714661</v>
      </c>
      <c r="CR14" s="1398">
        <f t="shared" si="50"/>
        <v>4.4598634800922632</v>
      </c>
      <c r="CS14" s="1398">
        <f t="shared" si="50"/>
        <v>4.4685821584805847</v>
      </c>
      <c r="CT14" s="1398">
        <f t="shared" si="50"/>
        <v>4.4773178811917154</v>
      </c>
      <c r="CU14" s="1398">
        <f t="shared" si="50"/>
        <v>4.486070681545951</v>
      </c>
      <c r="CV14" s="1398">
        <f t="shared" si="50"/>
        <v>4.4964044657748525</v>
      </c>
      <c r="CW14" s="1398">
        <f t="shared" si="50"/>
        <v>4.5067620541531026</v>
      </c>
      <c r="CX14" s="1398">
        <f t="shared" si="50"/>
        <v>4.5171435015141972</v>
      </c>
      <c r="CY14" s="1398">
        <f t="shared" si="50"/>
        <v>4.5275488628179446</v>
      </c>
      <c r="CZ14" s="1398">
        <f t="shared" si="50"/>
        <v>4.537978193150753</v>
      </c>
    </row>
    <row r="15" spans="1:104" x14ac:dyDescent="0.25">
      <c r="A15" s="970" t="str">
        <f>'HyARC Physical Property Data'!A79</f>
        <v>Electric Utility Steam Coal</v>
      </c>
      <c r="B15" s="260">
        <v>2007</v>
      </c>
      <c r="C15" s="874">
        <f>VLOOKUP(ref_year,DeflatorTable,2,FALSE)/VLOOKUP(B15,DeflatorTable,2,FALSE)</f>
        <v>1.1446359956438654</v>
      </c>
      <c r="D15" s="1260" t="str">
        <f>+'HyARC Physical Property Data'!$H$79</f>
        <v>kg</v>
      </c>
      <c r="E15" s="901" t="s">
        <v>1052</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6">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6">
        <f>(1.02844862093285*BB15)</f>
        <v>2.511095364132073</v>
      </c>
      <c r="BR15" s="260">
        <f>(($BV$15-$BQ$15)/5+BQ15)</f>
        <v>2.5158578441414332</v>
      </c>
      <c r="BS15" s="260">
        <f>(($BV$15-$BQ$15)/5+BR15)</f>
        <v>2.5206203241507934</v>
      </c>
      <c r="BT15" s="260">
        <f>(($BV$15-$BQ$15)/5+BS15)</f>
        <v>2.5253828041601536</v>
      </c>
      <c r="BU15" s="260">
        <f>(($BV$15-$BQ$15)/5+BT15)</f>
        <v>2.5301452841695138</v>
      </c>
      <c r="BV15" s="1079">
        <f>(1.00948287364428*BQ15)</f>
        <v>2.5349077641788749</v>
      </c>
      <c r="BW15" s="1398">
        <f>+BV15*BW$138/BV$138</f>
        <v>2.5434781738814416</v>
      </c>
      <c r="BX15" s="1398">
        <f t="shared" ref="BX15:CZ15" si="53">+BW15*BX$138/BW$138</f>
        <v>2.5520775597556495</v>
      </c>
      <c r="BY15" s="1398">
        <f t="shared" si="53"/>
        <v>2.5607060197686384</v>
      </c>
      <c r="BZ15" s="1398">
        <f t="shared" si="53"/>
        <v>2.5693636522187702</v>
      </c>
      <c r="CA15" s="1398">
        <f t="shared" si="53"/>
        <v>2.5780505557367492</v>
      </c>
      <c r="CB15" s="1398">
        <f t="shared" si="53"/>
        <v>2.5854319192311639</v>
      </c>
      <c r="CC15" s="1398">
        <f t="shared" si="53"/>
        <v>2.592834416728135</v>
      </c>
      <c r="CD15" s="1398">
        <f t="shared" si="53"/>
        <v>2.6002581087376306</v>
      </c>
      <c r="CE15" s="1398">
        <f t="shared" si="53"/>
        <v>2.6077030559428676</v>
      </c>
      <c r="CF15" s="1398">
        <f t="shared" si="53"/>
        <v>2.6151693192008074</v>
      </c>
      <c r="CG15" s="1398">
        <f t="shared" si="53"/>
        <v>2.620869818974227</v>
      </c>
      <c r="CH15" s="1398">
        <f t="shared" si="53"/>
        <v>2.6265827445961101</v>
      </c>
      <c r="CI15" s="1398">
        <f t="shared" si="53"/>
        <v>2.6323081231521006</v>
      </c>
      <c r="CJ15" s="1398">
        <f t="shared" si="53"/>
        <v>2.6380459817868847</v>
      </c>
      <c r="CK15" s="1398">
        <f t="shared" si="53"/>
        <v>2.6437963477043169</v>
      </c>
      <c r="CL15" s="1398">
        <f t="shared" si="53"/>
        <v>2.6476946163242814</v>
      </c>
      <c r="CM15" s="1398">
        <f t="shared" si="53"/>
        <v>2.6515986329279162</v>
      </c>
      <c r="CN15" s="1398">
        <f t="shared" si="53"/>
        <v>2.6555084059906031</v>
      </c>
      <c r="CO15" s="1398">
        <f t="shared" si="53"/>
        <v>2.6594239440002214</v>
      </c>
      <c r="CP15" s="1398">
        <f t="shared" si="53"/>
        <v>2.6633452554571648</v>
      </c>
      <c r="CQ15" s="1398">
        <f t="shared" si="53"/>
        <v>2.6646584413422429</v>
      </c>
      <c r="CR15" s="1398">
        <f t="shared" si="53"/>
        <v>2.6659722747052119</v>
      </c>
      <c r="CS15" s="1398">
        <f t="shared" si="53"/>
        <v>2.6672867558653164</v>
      </c>
      <c r="CT15" s="1398">
        <f t="shared" si="53"/>
        <v>2.6686018851419582</v>
      </c>
      <c r="CU15" s="1398">
        <f t="shared" si="53"/>
        <v>2.6699176628546981</v>
      </c>
      <c r="CV15" s="1398">
        <f t="shared" si="53"/>
        <v>2.6680266065225413</v>
      </c>
      <c r="CW15" s="1398">
        <f t="shared" si="53"/>
        <v>2.6661368895927571</v>
      </c>
      <c r="CX15" s="1398">
        <f t="shared" si="53"/>
        <v>2.6642485111166696</v>
      </c>
      <c r="CY15" s="1398">
        <f t="shared" si="53"/>
        <v>2.662361470146275</v>
      </c>
      <c r="CZ15" s="1398">
        <f t="shared" si="53"/>
        <v>2.6604757657342417</v>
      </c>
    </row>
    <row r="16" spans="1:104" x14ac:dyDescent="0.25">
      <c r="A16" s="964" t="str">
        <f>'HyARC Physical Property Data'!A76</f>
        <v>Commercial Electricity</v>
      </c>
      <c r="B16" s="260">
        <v>2007</v>
      </c>
      <c r="C16" s="874">
        <f t="shared" si="37"/>
        <v>1.1446359956438654</v>
      </c>
      <c r="D16" s="1260" t="str">
        <f>'HyARC Physical Property Data'!$H$76</f>
        <v>kWh</v>
      </c>
      <c r="E16" s="874" t="s">
        <v>1071</v>
      </c>
      <c r="F16" s="874"/>
      <c r="G16" s="874"/>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6">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6">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9">
        <f>1.00317623736115*BQ16</f>
        <v>32.388575392639169</v>
      </c>
      <c r="BW16" s="1398">
        <f>+BV16*BW$139/BV$139</f>
        <v>32.37431458077026</v>
      </c>
      <c r="BX16" s="1398">
        <f t="shared" ref="BX16:CZ16" si="57">+BW16*BX$139/BW$139</f>
        <v>32.360060047990594</v>
      </c>
      <c r="BY16" s="1398">
        <f t="shared" si="57"/>
        <v>32.345811791535453</v>
      </c>
      <c r="BZ16" s="1398">
        <f t="shared" si="57"/>
        <v>32.331569808641355</v>
      </c>
      <c r="CA16" s="1398">
        <f t="shared" si="57"/>
        <v>32.317334096546027</v>
      </c>
      <c r="CB16" s="1398">
        <f t="shared" si="57"/>
        <v>32.291448416621037</v>
      </c>
      <c r="CC16" s="1398">
        <f t="shared" si="57"/>
        <v>32.265583470721417</v>
      </c>
      <c r="CD16" s="1398">
        <f t="shared" si="57"/>
        <v>32.239739242239537</v>
      </c>
      <c r="CE16" s="1398">
        <f t="shared" si="57"/>
        <v>32.213915714581077</v>
      </c>
      <c r="CF16" s="1398">
        <f t="shared" si="57"/>
        <v>32.188112871164996</v>
      </c>
      <c r="CG16" s="1398">
        <f t="shared" si="57"/>
        <v>32.152568008354812</v>
      </c>
      <c r="CH16" s="1398">
        <f t="shared" si="57"/>
        <v>32.11706239721736</v>
      </c>
      <c r="CI16" s="1398">
        <f t="shared" si="57"/>
        <v>32.081595994407593</v>
      </c>
      <c r="CJ16" s="1398">
        <f t="shared" si="57"/>
        <v>32.046168756628319</v>
      </c>
      <c r="CK16" s="1398">
        <f t="shared" si="57"/>
        <v>32.010780640630173</v>
      </c>
      <c r="CL16" s="1398">
        <f t="shared" si="57"/>
        <v>31.972198945666406</v>
      </c>
      <c r="CM16" s="1398">
        <f t="shared" si="57"/>
        <v>31.933663752136113</v>
      </c>
      <c r="CN16" s="1398">
        <f t="shared" si="57"/>
        <v>31.895175003992414</v>
      </c>
      <c r="CO16" s="1398">
        <f t="shared" si="57"/>
        <v>31.856732645255992</v>
      </c>
      <c r="CP16" s="1398">
        <f t="shared" si="57"/>
        <v>31.818336620015</v>
      </c>
      <c r="CQ16" s="1398">
        <f t="shared" si="57"/>
        <v>31.773863996680806</v>
      </c>
      <c r="CR16" s="1398">
        <f t="shared" si="57"/>
        <v>31.729453532919873</v>
      </c>
      <c r="CS16" s="1398">
        <f t="shared" si="57"/>
        <v>31.685105141851508</v>
      </c>
      <c r="CT16" s="1398">
        <f t="shared" si="57"/>
        <v>31.640818736716444</v>
      </c>
      <c r="CU16" s="1398">
        <f t="shared" si="57"/>
        <v>31.596594230876679</v>
      </c>
      <c r="CV16" s="1398">
        <f t="shared" si="57"/>
        <v>31.553423239824536</v>
      </c>
      <c r="CW16" s="1398">
        <f t="shared" si="57"/>
        <v>31.510311234068549</v>
      </c>
      <c r="CX16" s="1398">
        <f t="shared" si="57"/>
        <v>31.467258133016063</v>
      </c>
      <c r="CY16" s="1398">
        <f t="shared" si="57"/>
        <v>31.424263856184528</v>
      </c>
      <c r="CZ16" s="1398">
        <f t="shared" si="57"/>
        <v>31.381328323201359</v>
      </c>
    </row>
    <row r="17" spans="1:104" x14ac:dyDescent="0.25">
      <c r="A17" s="964" t="str">
        <f>'HyARC Physical Property Data'!A77</f>
        <v>Industrial Electricity</v>
      </c>
      <c r="B17" s="260">
        <v>2007</v>
      </c>
      <c r="C17" s="874">
        <f t="shared" si="37"/>
        <v>1.1446359956438654</v>
      </c>
      <c r="D17" s="964" t="str">
        <f>'HyARC Physical Property Data'!$H$77</f>
        <v>kWh</v>
      </c>
      <c r="E17" s="874" t="s">
        <v>1071</v>
      </c>
      <c r="F17" s="874"/>
      <c r="G17" s="874"/>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6">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6">
        <f>1.00952871208344*BB17</f>
        <v>22.387679993913494</v>
      </c>
      <c r="BR17" s="260">
        <f t="shared" si="56"/>
        <v>22.401901711038722</v>
      </c>
      <c r="BS17" s="260">
        <f t="shared" si="56"/>
        <v>22.416123428163949</v>
      </c>
      <c r="BT17" s="260">
        <f t="shared" si="56"/>
        <v>22.430345145289177</v>
      </c>
      <c r="BU17" s="260">
        <f t="shared" si="56"/>
        <v>22.444566862414405</v>
      </c>
      <c r="BV17" s="1079">
        <f>1.00317623736115*BQ17</f>
        <v>22.458788579539629</v>
      </c>
      <c r="BW17" s="1398">
        <f>+BV17*BW$140/BV$140</f>
        <v>22.465574719294207</v>
      </c>
      <c r="BX17" s="1398">
        <f t="shared" ref="BX17:CZ17" si="58">+BW17*BX$140/BW$140</f>
        <v>22.472362909546415</v>
      </c>
      <c r="BY17" s="1398">
        <f t="shared" si="58"/>
        <v>22.479153150915831</v>
      </c>
      <c r="BZ17" s="1398">
        <f t="shared" si="58"/>
        <v>22.485945444022224</v>
      </c>
      <c r="CA17" s="1398">
        <f t="shared" si="58"/>
        <v>22.492739789485537</v>
      </c>
      <c r="CB17" s="1398">
        <f t="shared" si="58"/>
        <v>22.49019603346196</v>
      </c>
      <c r="CC17" s="1398">
        <f t="shared" si="58"/>
        <v>22.487652565117642</v>
      </c>
      <c r="CD17" s="1398">
        <f t="shared" si="58"/>
        <v>22.485109384420049</v>
      </c>
      <c r="CE17" s="1398">
        <f t="shared" si="58"/>
        <v>22.482566491336648</v>
      </c>
      <c r="CF17" s="1398">
        <f t="shared" si="58"/>
        <v>22.480023885834914</v>
      </c>
      <c r="CG17" s="1398">
        <f t="shared" si="58"/>
        <v>22.469826748009918</v>
      </c>
      <c r="CH17" s="1398">
        <f t="shared" si="58"/>
        <v>22.459634235696903</v>
      </c>
      <c r="CI17" s="1398">
        <f t="shared" si="58"/>
        <v>22.449446346797696</v>
      </c>
      <c r="CJ17" s="1398">
        <f t="shared" si="58"/>
        <v>22.439263079215074</v>
      </c>
      <c r="CK17" s="1398">
        <f t="shared" si="58"/>
        <v>22.429084430852768</v>
      </c>
      <c r="CL17" s="1398">
        <f t="shared" si="58"/>
        <v>22.41659732007183</v>
      </c>
      <c r="CM17" s="1398">
        <f t="shared" si="58"/>
        <v>22.404117161332831</v>
      </c>
      <c r="CN17" s="1398">
        <f t="shared" si="58"/>
        <v>22.39164395076531</v>
      </c>
      <c r="CO17" s="1398">
        <f t="shared" si="58"/>
        <v>22.379177684500963</v>
      </c>
      <c r="CP17" s="1398">
        <f t="shared" si="58"/>
        <v>22.36671835867363</v>
      </c>
      <c r="CQ17" s="1398">
        <f t="shared" si="58"/>
        <v>22.349648462331068</v>
      </c>
      <c r="CR17" s="1398">
        <f t="shared" si="58"/>
        <v>22.332591593441013</v>
      </c>
      <c r="CS17" s="1398">
        <f t="shared" si="58"/>
        <v>22.315547742061138</v>
      </c>
      <c r="CT17" s="1398">
        <f t="shared" si="58"/>
        <v>22.2985168982567</v>
      </c>
      <c r="CU17" s="1398">
        <f t="shared" si="58"/>
        <v>22.281499052100536</v>
      </c>
      <c r="CV17" s="1398">
        <f t="shared" si="58"/>
        <v>22.265499049909142</v>
      </c>
      <c r="CW17" s="1398">
        <f t="shared" si="58"/>
        <v>22.249510537073537</v>
      </c>
      <c r="CX17" s="1398">
        <f t="shared" si="58"/>
        <v>22.233533505343395</v>
      </c>
      <c r="CY17" s="1398">
        <f t="shared" si="58"/>
        <v>22.217567946474304</v>
      </c>
      <c r="CZ17" s="1398">
        <f t="shared" si="58"/>
        <v>22.20161385222778</v>
      </c>
    </row>
    <row r="18" spans="1:104" ht="13" thickBot="1" x14ac:dyDescent="0.3">
      <c r="A18" s="967" t="str">
        <f>'HyARC Physical Property Data'!A78</f>
        <v>Residential Electricity</v>
      </c>
      <c r="B18" s="880">
        <v>2007</v>
      </c>
      <c r="C18" s="881">
        <f t="shared" si="37"/>
        <v>1.1446359956438654</v>
      </c>
      <c r="D18" s="967" t="str">
        <f>'HyARC Physical Property Data'!$H$78</f>
        <v>kWh</v>
      </c>
      <c r="E18" s="881" t="s">
        <v>1071</v>
      </c>
      <c r="F18" s="880"/>
      <c r="G18" s="880"/>
      <c r="H18" s="880">
        <f>(31.2067794799805/(mmBTU_to_GJ))*($C$18)</f>
        <v>33.858201991380128</v>
      </c>
      <c r="I18" s="880">
        <f>(31.2067794799805/(mmBTU_to_GJ))*($C$18)</f>
        <v>33.858201991380128</v>
      </c>
      <c r="J18" s="880">
        <f>(31.2067794799805/(mmBTU_to_GJ))*($C$18)</f>
        <v>33.858201991380128</v>
      </c>
      <c r="K18" s="880">
        <f>(31.181957244873/(mmBTU_to_GJ))*($C$18)</f>
        <v>33.831270783990192</v>
      </c>
      <c r="L18" s="880">
        <f>(31.772819519043/(mmBTU_to_GJ))*($C$18)</f>
        <v>34.472334506722866</v>
      </c>
      <c r="M18" s="880">
        <f>(30.736837387085/(mmBTU_to_GJ))*($C$18)</f>
        <v>33.348332194795859</v>
      </c>
      <c r="N18" s="880">
        <f>(28.6163578033447/(mmBTU_to_GJ))*($C$18)</f>
        <v>31.047690242590104</v>
      </c>
      <c r="O18" s="880">
        <f>(29.8736190795898/(mmBTU_to_GJ))*($C$18)</f>
        <v>32.411772245167633</v>
      </c>
      <c r="P18" s="880">
        <f>(30.101655960083/(mmBTU_to_GJ))*($C$18)</f>
        <v>32.659183829761808</v>
      </c>
      <c r="Q18" s="880">
        <f>(30.4253902435303/(mmBTU_to_GJ))*($C$18)</f>
        <v>33.010423558536921</v>
      </c>
      <c r="R18" s="880">
        <f>(30.7938537597656/(mmBTU_to_GJ))*($C$18)</f>
        <v>33.410192851204634</v>
      </c>
      <c r="S18" s="880">
        <f>(30.8830280303955/(mmBTU_to_GJ))*($C$18)</f>
        <v>33.50694363798025</v>
      </c>
      <c r="T18" s="880">
        <f>(31.1491451263428/(mmBTU_to_GJ))*($C$18)</f>
        <v>33.795670848480235</v>
      </c>
      <c r="U18" s="880">
        <f>(31.4898681640625/(mmBTU_to_GJ))*($C$18)</f>
        <v>34.165342747550469</v>
      </c>
      <c r="V18" s="880">
        <f>(31.8156299591064/(mmBTU_to_GJ))*($C$18)</f>
        <v>34.518782251448862</v>
      </c>
      <c r="W18" s="880">
        <f>(32.0206985473633/(mmBTU_to_GJ))*($C$18)</f>
        <v>34.741274088126325</v>
      </c>
      <c r="X18" s="880">
        <f>(32.4303588867188/(mmBTU_to_GJ))*($C$18)</f>
        <v>35.185740410793606</v>
      </c>
      <c r="Y18" s="880">
        <f>(32.7907905578613/(mmBTU_to_GJ))*($C$18)</f>
        <v>35.576795448480595</v>
      </c>
      <c r="Z18" s="880">
        <f>(32.9940071105957/(mmBTU_to_GJ))*($C$18)</f>
        <v>35.797277895087667</v>
      </c>
      <c r="AA18" s="880">
        <f>(32.9234657287598/(mmBTU_to_GJ))*($C$18)</f>
        <v>35.720743103777878</v>
      </c>
      <c r="AB18" s="880">
        <f>(32.9201545715332/(mmBTU_to_GJ))*($C$18)</f>
        <v>35.717150620603661</v>
      </c>
      <c r="AC18" s="880">
        <f>(32.902271270752/(mmBTU_to_GJ))*($C$18)</f>
        <v>35.69774790041874</v>
      </c>
      <c r="AD18" s="880">
        <f>(32.9582405090332/(mmBTU_to_GJ))*($C$18)</f>
        <v>35.758472454717726</v>
      </c>
      <c r="AE18" s="880">
        <f>(33.321102142334/(mmBTU_to_GJ))*($C$18)</f>
        <v>36.152163911508453</v>
      </c>
      <c r="AF18" s="880">
        <f>(33.7343635559082/(mmBTU_to_GJ))*($C$18)</f>
        <v>36.600537266567883</v>
      </c>
      <c r="AG18" s="880">
        <f>(34.1495399475098/(mmBTU_to_GJ))*($C$18)</f>
        <v>37.050988301988475</v>
      </c>
      <c r="AH18" s="880">
        <f>(34.4904899597167/(mmBTU_to_GJ))*($C$18)</f>
        <v>37.420906459985844</v>
      </c>
      <c r="AI18" s="880">
        <f t="shared" si="54"/>
        <v>37.409873259446485</v>
      </c>
      <c r="AJ18" s="880">
        <f t="shared" si="54"/>
        <v>37.398840058907126</v>
      </c>
      <c r="AK18" s="880">
        <f t="shared" si="54"/>
        <v>37.387806858367767</v>
      </c>
      <c r="AL18" s="880">
        <f t="shared" si="54"/>
        <v>37.376773657828409</v>
      </c>
      <c r="AM18" s="880">
        <f t="shared" si="54"/>
        <v>37.36574045728905</v>
      </c>
      <c r="AN18" s="880">
        <f t="shared" si="54"/>
        <v>37.354707256749691</v>
      </c>
      <c r="AO18" s="880">
        <f t="shared" si="54"/>
        <v>37.343674056210332</v>
      </c>
      <c r="AP18" s="880">
        <f t="shared" si="54"/>
        <v>37.332640855670974</v>
      </c>
      <c r="AQ18" s="880">
        <f t="shared" si="54"/>
        <v>37.321607655131615</v>
      </c>
      <c r="AR18" s="880">
        <f t="shared" si="54"/>
        <v>37.310574454592256</v>
      </c>
      <c r="AS18" s="880">
        <f t="shared" si="54"/>
        <v>37.299541254052897</v>
      </c>
      <c r="AT18" s="880">
        <f t="shared" si="54"/>
        <v>37.288508053513539</v>
      </c>
      <c r="AU18" s="880">
        <f t="shared" si="54"/>
        <v>37.27747485297418</v>
      </c>
      <c r="AV18" s="880">
        <f t="shared" si="54"/>
        <v>37.266441652434821</v>
      </c>
      <c r="AW18" s="880">
        <f t="shared" si="54"/>
        <v>37.255408451895462</v>
      </c>
      <c r="AX18" s="880">
        <f t="shared" si="54"/>
        <v>37.244375251356104</v>
      </c>
      <c r="AY18" s="880">
        <f t="shared" si="54"/>
        <v>37.233342050816745</v>
      </c>
      <c r="AZ18" s="880">
        <f t="shared" si="54"/>
        <v>37.222308850277386</v>
      </c>
      <c r="BA18" s="880">
        <f t="shared" si="54"/>
        <v>37.211275649738027</v>
      </c>
      <c r="BB18" s="1080">
        <f>0.994103189054944*AH18</f>
        <v>37.200242449198683</v>
      </c>
      <c r="BC18" s="880">
        <f t="shared" si="55"/>
        <v>37.223873809180851</v>
      </c>
      <c r="BD18" s="880">
        <f t="shared" si="55"/>
        <v>37.24750516916302</v>
      </c>
      <c r="BE18" s="880">
        <f t="shared" si="55"/>
        <v>37.271136529145188</v>
      </c>
      <c r="BF18" s="880">
        <f t="shared" si="55"/>
        <v>37.294767889127357</v>
      </c>
      <c r="BG18" s="880">
        <f t="shared" si="55"/>
        <v>37.318399249109525</v>
      </c>
      <c r="BH18" s="880">
        <f t="shared" si="55"/>
        <v>37.342030609091694</v>
      </c>
      <c r="BI18" s="880">
        <f t="shared" si="55"/>
        <v>37.365661969073862</v>
      </c>
      <c r="BJ18" s="880">
        <f t="shared" si="55"/>
        <v>37.389293329056031</v>
      </c>
      <c r="BK18" s="880">
        <f t="shared" si="55"/>
        <v>37.412924689038199</v>
      </c>
      <c r="BL18" s="880">
        <f t="shared" si="55"/>
        <v>37.436556049020368</v>
      </c>
      <c r="BM18" s="880">
        <f t="shared" si="55"/>
        <v>37.460187409002536</v>
      </c>
      <c r="BN18" s="880">
        <f t="shared" si="55"/>
        <v>37.483818768984705</v>
      </c>
      <c r="BO18" s="880">
        <f t="shared" si="55"/>
        <v>37.507450128966873</v>
      </c>
      <c r="BP18" s="880">
        <f t="shared" si="55"/>
        <v>37.531081488949042</v>
      </c>
      <c r="BQ18" s="1080">
        <f>1.00952871208344*BB18</f>
        <v>37.55471284893126</v>
      </c>
      <c r="BR18" s="880">
        <f t="shared" si="56"/>
        <v>37.578569385338866</v>
      </c>
      <c r="BS18" s="880">
        <f t="shared" si="56"/>
        <v>37.602425921746473</v>
      </c>
      <c r="BT18" s="880">
        <f t="shared" si="56"/>
        <v>37.62628245815408</v>
      </c>
      <c r="BU18" s="880">
        <f t="shared" si="56"/>
        <v>37.650138994561686</v>
      </c>
      <c r="BV18" s="1081">
        <f>1.00317623736115*BQ18</f>
        <v>37.673995530969293</v>
      </c>
      <c r="BW18" s="1398">
        <f>+BV18*BW$141/BV$141</f>
        <v>37.657407528684409</v>
      </c>
      <c r="BX18" s="1398">
        <f t="shared" ref="BX18:CZ18" si="59">+BW18*BX$141/BW$141</f>
        <v>37.640826830159476</v>
      </c>
      <c r="BY18" s="1398">
        <f t="shared" si="59"/>
        <v>37.62425343217862</v>
      </c>
      <c r="BZ18" s="1398">
        <f t="shared" si="59"/>
        <v>37.607687331527387</v>
      </c>
      <c r="CA18" s="1398">
        <f t="shared" si="59"/>
        <v>37.59112852499274</v>
      </c>
      <c r="CB18" s="1398">
        <f t="shared" si="59"/>
        <v>37.561018618089207</v>
      </c>
      <c r="CC18" s="1398">
        <f t="shared" si="59"/>
        <v>37.530932828750899</v>
      </c>
      <c r="CD18" s="1398">
        <f t="shared" si="59"/>
        <v>37.500871137660013</v>
      </c>
      <c r="CE18" s="1398">
        <f t="shared" si="59"/>
        <v>37.47083352551423</v>
      </c>
      <c r="CF18" s="1398">
        <f t="shared" si="59"/>
        <v>37.440819973026684</v>
      </c>
      <c r="CG18" s="1398">
        <f t="shared" si="59"/>
        <v>37.399474622500279</v>
      </c>
      <c r="CH18" s="1398">
        <f t="shared" si="59"/>
        <v>37.358174929040445</v>
      </c>
      <c r="CI18" s="1398">
        <f t="shared" si="59"/>
        <v>37.316920842228761</v>
      </c>
      <c r="CJ18" s="1398">
        <f t="shared" si="59"/>
        <v>37.275712311702456</v>
      </c>
      <c r="CK18" s="1398">
        <f t="shared" si="59"/>
        <v>37.234549287154408</v>
      </c>
      <c r="CL18" s="1398">
        <f t="shared" si="59"/>
        <v>37.189671530537417</v>
      </c>
      <c r="CM18" s="1398">
        <f t="shared" si="59"/>
        <v>37.144847863820196</v>
      </c>
      <c r="CN18" s="1398">
        <f t="shared" si="59"/>
        <v>37.100078221809703</v>
      </c>
      <c r="CO18" s="1398">
        <f t="shared" si="59"/>
        <v>37.055362539391488</v>
      </c>
      <c r="CP18" s="1398">
        <f t="shared" si="59"/>
        <v>37.010700751529562</v>
      </c>
      <c r="CQ18" s="1398">
        <f t="shared" si="59"/>
        <v>36.958970738942355</v>
      </c>
      <c r="CR18" s="1398">
        <f t="shared" si="59"/>
        <v>36.907313029611991</v>
      </c>
      <c r="CS18" s="1398">
        <f t="shared" si="59"/>
        <v>36.855727522479896</v>
      </c>
      <c r="CT18" s="1398">
        <f t="shared" si="59"/>
        <v>36.804214116628756</v>
      </c>
      <c r="CU18" s="1398">
        <f t="shared" si="59"/>
        <v>36.752772711282311</v>
      </c>
      <c r="CV18" s="1398">
        <f t="shared" si="59"/>
        <v>36.70255674147662</v>
      </c>
      <c r="CW18" s="1398">
        <f t="shared" si="59"/>
        <v>36.652409382647399</v>
      </c>
      <c r="CX18" s="1398">
        <f t="shared" si="59"/>
        <v>36.602330541050243</v>
      </c>
      <c r="CY18" s="1398">
        <f t="shared" si="59"/>
        <v>36.552320123068824</v>
      </c>
      <c r="CZ18" s="1398">
        <f t="shared" si="59"/>
        <v>36.502378035214747</v>
      </c>
    </row>
    <row r="19" spans="1:104" ht="13" thickTop="1" x14ac:dyDescent="0.25">
      <c r="AH19" s="260"/>
    </row>
    <row r="20" spans="1:104" x14ac:dyDescent="0.25">
      <c r="E20" s="260"/>
    </row>
    <row r="21" spans="1:104" ht="13" thickBot="1" x14ac:dyDescent="0.3"/>
    <row r="22" spans="1:104" ht="13.5" thickTop="1" x14ac:dyDescent="0.3">
      <c r="A22" s="867" t="s">
        <v>1105</v>
      </c>
      <c r="B22" s="868" t="str">
        <f>"Prices are in $(" &amp; ref_year&amp;")/GJ LHV"</f>
        <v>Prices are in $(2016)/GJ LHV</v>
      </c>
      <c r="C22" s="869"/>
      <c r="D22" s="869"/>
      <c r="E22" s="869"/>
      <c r="F22" s="869"/>
      <c r="G22" s="869"/>
      <c r="H22" s="869"/>
      <c r="I22" s="869"/>
      <c r="J22" s="869"/>
      <c r="K22" s="869"/>
      <c r="L22" s="869"/>
      <c r="M22" s="869"/>
      <c r="N22" s="869"/>
      <c r="O22" s="869"/>
      <c r="P22" s="869"/>
      <c r="Q22" s="869"/>
      <c r="R22" s="869"/>
      <c r="S22" s="869"/>
      <c r="T22" s="869"/>
      <c r="U22" s="869"/>
      <c r="V22" s="869"/>
      <c r="W22" s="869"/>
      <c r="X22" s="869"/>
      <c r="Y22" s="869"/>
      <c r="Z22" s="869"/>
      <c r="AA22" s="869"/>
      <c r="AB22" s="869"/>
      <c r="AC22" s="869"/>
      <c r="AD22" s="869"/>
      <c r="AE22" s="869"/>
      <c r="AF22" s="869"/>
      <c r="AG22" s="869"/>
      <c r="AH22" s="869"/>
      <c r="AI22" s="869"/>
      <c r="AJ22" s="869"/>
      <c r="AK22" s="869"/>
      <c r="AL22" s="869"/>
      <c r="AM22" s="869"/>
      <c r="AN22" s="869"/>
      <c r="AO22" s="869"/>
      <c r="AP22" s="869"/>
      <c r="AQ22" s="869"/>
      <c r="AR22" s="869"/>
      <c r="AS22" s="882" t="s">
        <v>772</v>
      </c>
      <c r="AT22" s="883"/>
      <c r="AU22" s="883"/>
      <c r="AV22" s="883"/>
      <c r="AW22" s="883"/>
      <c r="AX22" s="883"/>
      <c r="AY22" s="883"/>
      <c r="AZ22" s="883"/>
      <c r="BA22" s="883"/>
      <c r="BB22" s="883"/>
      <c r="BC22" s="883"/>
      <c r="BD22" s="883"/>
      <c r="BE22" s="883"/>
      <c r="BF22" s="883"/>
      <c r="BG22" s="883"/>
      <c r="BH22" s="883"/>
      <c r="BI22" s="883"/>
      <c r="BJ22" s="883"/>
      <c r="BK22" s="883"/>
      <c r="BL22" s="883"/>
      <c r="BM22" s="883"/>
      <c r="BN22" s="883"/>
      <c r="BO22" s="883"/>
      <c r="BP22" s="883"/>
      <c r="BQ22" s="883"/>
      <c r="BR22" s="883"/>
      <c r="BS22" s="883"/>
      <c r="BT22" s="883"/>
      <c r="BU22" s="883"/>
      <c r="BV22" s="884"/>
    </row>
    <row r="23" spans="1:104" ht="39.5" thickBot="1" x14ac:dyDescent="0.35">
      <c r="A23" s="887" t="s">
        <v>1084</v>
      </c>
      <c r="B23" s="888" t="s">
        <v>678</v>
      </c>
      <c r="C23" s="888" t="s">
        <v>679</v>
      </c>
      <c r="D23" s="888" t="s">
        <v>690</v>
      </c>
      <c r="E23" s="888" t="s">
        <v>691</v>
      </c>
      <c r="F23" s="889" t="s">
        <v>680</v>
      </c>
      <c r="G23" s="889" t="s">
        <v>692</v>
      </c>
      <c r="H23" s="1067">
        <v>2004</v>
      </c>
      <c r="I23" s="1067">
        <v>2005</v>
      </c>
      <c r="J23" s="1067">
        <v>2006</v>
      </c>
      <c r="K23" s="1067">
        <v>2007</v>
      </c>
      <c r="L23" s="1067">
        <v>2008</v>
      </c>
      <c r="M23" s="1067">
        <v>2009</v>
      </c>
      <c r="N23" s="889">
        <v>2010</v>
      </c>
      <c r="O23" s="889">
        <v>2011</v>
      </c>
      <c r="P23" s="889">
        <v>2012</v>
      </c>
      <c r="Q23" s="889">
        <v>2013</v>
      </c>
      <c r="R23" s="889">
        <v>2014</v>
      </c>
      <c r="S23" s="889">
        <v>2015</v>
      </c>
      <c r="T23" s="889">
        <v>2016</v>
      </c>
      <c r="U23" s="889">
        <v>2017</v>
      </c>
      <c r="V23" s="889">
        <v>2018</v>
      </c>
      <c r="W23" s="889">
        <v>2019</v>
      </c>
      <c r="X23" s="889">
        <v>2020</v>
      </c>
      <c r="Y23" s="889">
        <v>2021</v>
      </c>
      <c r="Z23" s="889">
        <v>2022</v>
      </c>
      <c r="AA23" s="889">
        <v>2023</v>
      </c>
      <c r="AB23" s="889">
        <v>2024</v>
      </c>
      <c r="AC23" s="889">
        <v>2025</v>
      </c>
      <c r="AD23" s="889">
        <v>2026</v>
      </c>
      <c r="AE23" s="889">
        <v>2027</v>
      </c>
      <c r="AF23" s="889">
        <v>2028</v>
      </c>
      <c r="AG23" s="889">
        <v>2029</v>
      </c>
      <c r="AH23" s="889">
        <v>2030</v>
      </c>
      <c r="AI23" s="889">
        <v>2031</v>
      </c>
      <c r="AJ23" s="889">
        <v>2032</v>
      </c>
      <c r="AK23" s="889">
        <v>2033</v>
      </c>
      <c r="AL23" s="889">
        <v>2034</v>
      </c>
      <c r="AM23" s="889">
        <v>2035</v>
      </c>
      <c r="AN23" s="889">
        <v>2036</v>
      </c>
      <c r="AO23" s="889">
        <v>2037</v>
      </c>
      <c r="AP23" s="889">
        <v>2038</v>
      </c>
      <c r="AQ23" s="889">
        <v>2039</v>
      </c>
      <c r="AR23" s="889">
        <v>2040</v>
      </c>
      <c r="AS23" s="889">
        <v>2041</v>
      </c>
      <c r="AT23" s="889">
        <v>2042</v>
      </c>
      <c r="AU23" s="889">
        <v>2043</v>
      </c>
      <c r="AV23" s="889">
        <v>2044</v>
      </c>
      <c r="AW23" s="889">
        <v>2045</v>
      </c>
      <c r="AX23" s="889">
        <v>2046</v>
      </c>
      <c r="AY23" s="889">
        <v>2047</v>
      </c>
      <c r="AZ23" s="889">
        <v>2048</v>
      </c>
      <c r="BA23" s="889">
        <v>2049</v>
      </c>
      <c r="BB23" s="889">
        <v>2050</v>
      </c>
      <c r="BC23" s="889">
        <v>2051</v>
      </c>
      <c r="BD23" s="889">
        <v>2052</v>
      </c>
      <c r="BE23" s="889">
        <v>2053</v>
      </c>
      <c r="BF23" s="889">
        <v>2054</v>
      </c>
      <c r="BG23" s="889">
        <v>2055</v>
      </c>
      <c r="BH23" s="889">
        <v>2056</v>
      </c>
      <c r="BI23" s="889">
        <v>2057</v>
      </c>
      <c r="BJ23" s="889">
        <v>2058</v>
      </c>
      <c r="BK23" s="889">
        <v>2059</v>
      </c>
      <c r="BL23" s="889">
        <v>2060</v>
      </c>
      <c r="BM23" s="889">
        <v>2061</v>
      </c>
      <c r="BN23" s="889">
        <v>2062</v>
      </c>
      <c r="BO23" s="889">
        <v>2063</v>
      </c>
      <c r="BP23" s="889">
        <v>2064</v>
      </c>
      <c r="BQ23" s="889">
        <v>2065</v>
      </c>
      <c r="BR23" s="889">
        <v>2066</v>
      </c>
      <c r="BS23" s="889">
        <v>2067</v>
      </c>
      <c r="BT23" s="889">
        <v>2068</v>
      </c>
      <c r="BU23" s="889">
        <v>2069</v>
      </c>
      <c r="BV23" s="890">
        <v>2070</v>
      </c>
      <c r="BW23" s="1399">
        <f t="shared" ref="BW23" si="60">+BV23+1</f>
        <v>2071</v>
      </c>
      <c r="BX23" s="1399">
        <f t="shared" ref="BX23" si="61">+BW23+1</f>
        <v>2072</v>
      </c>
      <c r="BY23" s="1399">
        <f t="shared" ref="BY23" si="62">+BX23+1</f>
        <v>2073</v>
      </c>
      <c r="BZ23" s="1399">
        <f t="shared" ref="BZ23" si="63">+BY23+1</f>
        <v>2074</v>
      </c>
      <c r="CA23" s="1399">
        <f t="shared" ref="CA23" si="64">+BZ23+1</f>
        <v>2075</v>
      </c>
      <c r="CB23" s="1399">
        <f t="shared" ref="CB23" si="65">+CA23+1</f>
        <v>2076</v>
      </c>
      <c r="CC23" s="1399">
        <f t="shared" ref="CC23" si="66">+CB23+1</f>
        <v>2077</v>
      </c>
      <c r="CD23" s="1399">
        <f t="shared" ref="CD23" si="67">+CC23+1</f>
        <v>2078</v>
      </c>
      <c r="CE23" s="1399">
        <f t="shared" ref="CE23" si="68">+CD23+1</f>
        <v>2079</v>
      </c>
      <c r="CF23" s="1399">
        <f t="shared" ref="CF23" si="69">+CE23+1</f>
        <v>2080</v>
      </c>
      <c r="CG23" s="1399">
        <f t="shared" ref="CG23" si="70">+CF23+1</f>
        <v>2081</v>
      </c>
      <c r="CH23" s="1399">
        <f t="shared" ref="CH23" si="71">+CG23+1</f>
        <v>2082</v>
      </c>
      <c r="CI23" s="1399">
        <f t="shared" ref="CI23" si="72">+CH23+1</f>
        <v>2083</v>
      </c>
      <c r="CJ23" s="1399">
        <f t="shared" ref="CJ23" si="73">+CI23+1</f>
        <v>2084</v>
      </c>
      <c r="CK23" s="1399">
        <f t="shared" ref="CK23" si="74">+CJ23+1</f>
        <v>2085</v>
      </c>
      <c r="CL23" s="1399">
        <f t="shared" ref="CL23" si="75">+CK23+1</f>
        <v>2086</v>
      </c>
      <c r="CM23" s="1399">
        <f t="shared" ref="CM23" si="76">+CL23+1</f>
        <v>2087</v>
      </c>
      <c r="CN23" s="1399">
        <f t="shared" ref="CN23" si="77">+CM23+1</f>
        <v>2088</v>
      </c>
      <c r="CO23" s="1399">
        <f t="shared" ref="CO23" si="78">+CN23+1</f>
        <v>2089</v>
      </c>
      <c r="CP23" s="1399">
        <f t="shared" ref="CP23" si="79">+CO23+1</f>
        <v>2090</v>
      </c>
      <c r="CQ23" s="1399">
        <f t="shared" ref="CQ23" si="80">+CP23+1</f>
        <v>2091</v>
      </c>
      <c r="CR23" s="1399">
        <f t="shared" ref="CR23" si="81">+CQ23+1</f>
        <v>2092</v>
      </c>
      <c r="CS23" s="1399">
        <f t="shared" ref="CS23" si="82">+CR23+1</f>
        <v>2093</v>
      </c>
      <c r="CT23" s="1399">
        <f t="shared" ref="CT23" si="83">+CS23+1</f>
        <v>2094</v>
      </c>
      <c r="CU23" s="1399">
        <f t="shared" ref="CU23" si="84">+CT23+1</f>
        <v>2095</v>
      </c>
      <c r="CV23" s="1399">
        <f t="shared" ref="CV23" si="85">+CU23+1</f>
        <v>2096</v>
      </c>
      <c r="CW23" s="1399">
        <f t="shared" ref="CW23" si="86">+CV23+1</f>
        <v>2097</v>
      </c>
      <c r="CX23" s="1399">
        <f t="shared" ref="CX23" si="87">+CW23+1</f>
        <v>2098</v>
      </c>
      <c r="CY23" s="1399">
        <f t="shared" ref="CY23" si="88">+CX23+1</f>
        <v>2099</v>
      </c>
      <c r="CZ23" s="1399">
        <f t="shared" ref="CZ23" si="89">+CY23+1</f>
        <v>2100</v>
      </c>
    </row>
    <row r="24" spans="1:104" ht="13" thickBot="1" x14ac:dyDescent="0.3">
      <c r="A24" s="958" t="s">
        <v>1090</v>
      </c>
      <c r="B24" s="959"/>
      <c r="C24" s="959"/>
      <c r="D24" s="959"/>
      <c r="E24" s="959"/>
      <c r="F24" s="871"/>
      <c r="G24" s="959"/>
      <c r="H24" s="959"/>
      <c r="I24" s="959"/>
      <c r="J24" s="959"/>
      <c r="K24" s="959"/>
      <c r="L24" s="959"/>
      <c r="M24" s="959"/>
      <c r="N24" s="959"/>
      <c r="O24" s="959"/>
      <c r="P24" s="959"/>
      <c r="Q24" s="959"/>
      <c r="R24" s="959"/>
      <c r="S24" s="959"/>
      <c r="T24" s="959"/>
      <c r="U24" s="959"/>
      <c r="V24" s="959"/>
      <c r="W24" s="959"/>
      <c r="X24" s="959"/>
      <c r="Y24" s="959"/>
      <c r="Z24" s="959"/>
      <c r="AA24" s="959"/>
      <c r="AB24" s="959"/>
      <c r="AC24" s="959"/>
      <c r="AD24" s="959"/>
      <c r="AE24" s="959"/>
      <c r="AF24" s="959"/>
      <c r="AG24" s="959"/>
      <c r="AH24" s="959"/>
      <c r="AI24" s="959"/>
      <c r="AJ24" s="959"/>
      <c r="AK24" s="959"/>
      <c r="AL24" s="959"/>
      <c r="AM24" s="959"/>
      <c r="AN24" s="959"/>
      <c r="AO24" s="959"/>
      <c r="AP24" s="959"/>
      <c r="AQ24" s="959"/>
      <c r="AR24" s="959"/>
      <c r="AS24" s="959"/>
      <c r="AT24" s="959"/>
      <c r="AU24" s="959"/>
      <c r="AV24" s="959"/>
      <c r="AW24" s="959"/>
      <c r="AX24" s="959"/>
      <c r="AY24" s="959"/>
      <c r="AZ24" s="959"/>
      <c r="BA24" s="959"/>
      <c r="BC24" s="959"/>
      <c r="BD24" s="959"/>
      <c r="BE24" s="959"/>
      <c r="BF24" s="959"/>
      <c r="BG24" s="959"/>
      <c r="BH24" s="959"/>
      <c r="BI24" s="959"/>
      <c r="BJ24" s="959"/>
      <c r="BK24" s="959"/>
      <c r="BL24" s="959"/>
      <c r="BM24" s="959"/>
      <c r="BN24" s="959"/>
      <c r="BO24" s="959"/>
      <c r="BP24" s="959"/>
      <c r="BR24" s="959"/>
      <c r="BS24" s="959"/>
      <c r="BT24" s="959"/>
      <c r="BU24" s="959"/>
    </row>
    <row r="25" spans="1:104" ht="13" x14ac:dyDescent="0.3">
      <c r="A25" s="978" t="str">
        <f>'HyARC Physical Property Data'!A73</f>
        <v>Residential Natural Gas</v>
      </c>
      <c r="B25" s="959">
        <v>2011</v>
      </c>
      <c r="C25" s="960">
        <f>VLOOKUP(ref_year,DeflatorTable,2,FALSE)/VLOOKUP(B25,DeflatorTable,2,FALSE)</f>
        <v>1.0784554773635862</v>
      </c>
      <c r="D25" s="1246" t="str">
        <f>'HyARC Physical Property Data'!H73</f>
        <v>mmBtu</v>
      </c>
      <c r="E25" s="960" t="s">
        <v>1058</v>
      </c>
      <c r="F25" s="959">
        <f>'HyARC Physical Property Data'!$E$6</f>
        <v>47.141269049911173</v>
      </c>
      <c r="G25" s="959">
        <f>'HyARC Physical Property Data'!$I$6</f>
        <v>52.224661236371581</v>
      </c>
      <c r="H25" s="1068">
        <v>14.386141835345208</v>
      </c>
      <c r="I25" s="1068">
        <v>14.386141835345208</v>
      </c>
      <c r="J25" s="1068">
        <v>14.386141835345208</v>
      </c>
      <c r="K25" s="1068">
        <v>13.326716630976858</v>
      </c>
      <c r="L25" s="1068">
        <v>13.627764477872551</v>
      </c>
      <c r="M25" s="1068">
        <v>11.254339733155913</v>
      </c>
      <c r="N25" s="959">
        <f t="shared" ref="N25:AR25" si="90">((N42/(mmBTU_to_GJ))*($C25))*($G25/$F25)</f>
        <v>12.864072624231563</v>
      </c>
      <c r="O25" s="959">
        <f t="shared" si="90"/>
        <v>12.23325661230241</v>
      </c>
      <c r="P25" s="959">
        <f t="shared" si="90"/>
        <v>11.850527062684614</v>
      </c>
      <c r="Q25" s="959">
        <f t="shared" si="90"/>
        <v>11.865842495866545</v>
      </c>
      <c r="R25" s="959">
        <f t="shared" si="90"/>
        <v>11.611695090166418</v>
      </c>
      <c r="S25" s="959">
        <f t="shared" si="90"/>
        <v>11.50138750593943</v>
      </c>
      <c r="T25" s="959">
        <f t="shared" si="90"/>
        <v>12.075204376866452</v>
      </c>
      <c r="U25" s="959">
        <f t="shared" si="90"/>
        <v>12.446344297440779</v>
      </c>
      <c r="V25" s="959">
        <f t="shared" si="90"/>
        <v>12.907270435435697</v>
      </c>
      <c r="W25" s="959">
        <f t="shared" si="90"/>
        <v>13.164777859640022</v>
      </c>
      <c r="X25" s="959">
        <f t="shared" si="90"/>
        <v>13.336162585082695</v>
      </c>
      <c r="Y25" s="959">
        <f t="shared" si="90"/>
        <v>13.544264034469807</v>
      </c>
      <c r="Z25" s="959">
        <f t="shared" si="90"/>
        <v>13.819651921148951</v>
      </c>
      <c r="AA25" s="959">
        <f t="shared" si="90"/>
        <v>14.079086797828554</v>
      </c>
      <c r="AB25" s="959">
        <f t="shared" si="90"/>
        <v>14.2515190517904</v>
      </c>
      <c r="AC25" s="959">
        <f t="shared" si="90"/>
        <v>14.353207458115314</v>
      </c>
      <c r="AD25" s="959">
        <f t="shared" si="90"/>
        <v>14.54298904928118</v>
      </c>
      <c r="AE25" s="959">
        <f t="shared" si="90"/>
        <v>14.646583391279357</v>
      </c>
      <c r="AF25" s="959">
        <f t="shared" si="90"/>
        <v>14.81893750527599</v>
      </c>
      <c r="AG25" s="959">
        <f t="shared" si="90"/>
        <v>14.987454833734297</v>
      </c>
      <c r="AH25" s="959">
        <f t="shared" si="90"/>
        <v>15.139899111087075</v>
      </c>
      <c r="AI25" s="959">
        <f t="shared" si="90"/>
        <v>15.341580626230741</v>
      </c>
      <c r="AJ25" s="959">
        <f t="shared" si="90"/>
        <v>15.539442342785032</v>
      </c>
      <c r="AK25" s="959">
        <f t="shared" si="90"/>
        <v>15.781889138041823</v>
      </c>
      <c r="AL25" s="959">
        <f t="shared" si="90"/>
        <v>16.136390908341905</v>
      </c>
      <c r="AM25" s="959">
        <f t="shared" si="90"/>
        <v>16.532635274551915</v>
      </c>
      <c r="AN25" s="959">
        <f t="shared" si="90"/>
        <v>17.01379173629439</v>
      </c>
      <c r="AO25" s="959">
        <f t="shared" si="90"/>
        <v>17.457934768717273</v>
      </c>
      <c r="AP25" s="959">
        <f t="shared" si="90"/>
        <v>17.940794455208763</v>
      </c>
      <c r="AQ25" s="959">
        <f t="shared" si="90"/>
        <v>18.182559507580642</v>
      </c>
      <c r="AR25" s="959">
        <f t="shared" si="90"/>
        <v>18.530579058157759</v>
      </c>
      <c r="AS25" s="959">
        <f>($BB25-$AR25)/10+AR25</f>
        <v>18.537819201300856</v>
      </c>
      <c r="AT25" s="959">
        <f t="shared" ref="AT25:BA25" si="91">($BB25-$AR25)/10+AS25</f>
        <v>18.545059344443953</v>
      </c>
      <c r="AU25" s="959">
        <f t="shared" si="91"/>
        <v>18.552299487587049</v>
      </c>
      <c r="AV25" s="959">
        <f t="shared" si="91"/>
        <v>18.559539630730146</v>
      </c>
      <c r="AW25" s="959">
        <f t="shared" si="91"/>
        <v>18.566779773873243</v>
      </c>
      <c r="AX25" s="959">
        <f t="shared" si="91"/>
        <v>18.57401991701634</v>
      </c>
      <c r="AY25" s="959">
        <f t="shared" si="91"/>
        <v>18.581260060159437</v>
      </c>
      <c r="AZ25" s="959">
        <f t="shared" si="91"/>
        <v>18.588500203302534</v>
      </c>
      <c r="BA25" s="959">
        <f t="shared" si="91"/>
        <v>18.595740346445631</v>
      </c>
      <c r="BB25" s="961">
        <f>'AEO Data'!$B$30*AM25</f>
        <v>18.602980489588727</v>
      </c>
      <c r="BC25" s="959">
        <f>($BQ25-$BB25)/15+BB25</f>
        <v>18.754563729723429</v>
      </c>
      <c r="BD25" s="959">
        <f t="shared" ref="BD25:BP25" si="92">($BQ25-$BB25)/15+BC25</f>
        <v>18.906146969858131</v>
      </c>
      <c r="BE25" s="959">
        <f t="shared" si="92"/>
        <v>19.057730209992833</v>
      </c>
      <c r="BF25" s="959">
        <f t="shared" si="92"/>
        <v>19.209313450127535</v>
      </c>
      <c r="BG25" s="959">
        <f t="shared" si="92"/>
        <v>19.360896690262237</v>
      </c>
      <c r="BH25" s="959">
        <f t="shared" si="92"/>
        <v>19.512479930396939</v>
      </c>
      <c r="BI25" s="959">
        <f t="shared" si="92"/>
        <v>19.664063170531641</v>
      </c>
      <c r="BJ25" s="959">
        <f t="shared" si="92"/>
        <v>19.815646410666343</v>
      </c>
      <c r="BK25" s="959">
        <f t="shared" si="92"/>
        <v>19.967229650801045</v>
      </c>
      <c r="BL25" s="959">
        <f t="shared" si="92"/>
        <v>20.118812890935747</v>
      </c>
      <c r="BM25" s="959">
        <f t="shared" si="92"/>
        <v>20.270396131070449</v>
      </c>
      <c r="BN25" s="959">
        <f t="shared" si="92"/>
        <v>20.42197937120515</v>
      </c>
      <c r="BO25" s="959">
        <f t="shared" si="92"/>
        <v>20.573562611339852</v>
      </c>
      <c r="BP25" s="959">
        <f t="shared" si="92"/>
        <v>20.725145851474554</v>
      </c>
      <c r="BQ25" s="961">
        <f>'AEO Data'!$C$30*BB25</f>
        <v>20.876729091609249</v>
      </c>
      <c r="BR25" s="959">
        <f>($BV25-$BQ25)/5+BQ25</f>
        <v>20.996057748553792</v>
      </c>
      <c r="BS25" s="959">
        <f>($BV25-$BQ25)/5+BR25</f>
        <v>21.115386405498334</v>
      </c>
      <c r="BT25" s="959">
        <f>($BV25-$BQ25)/5+BS25</f>
        <v>21.234715062442877</v>
      </c>
      <c r="BU25" s="959">
        <f>($BV25-$BQ25)/5+BT25</f>
        <v>21.35404371938742</v>
      </c>
      <c r="BV25" s="962">
        <f>'AEO Data'!$D$30*BQ25</f>
        <v>21.473372376331962</v>
      </c>
      <c r="BW25" s="1398">
        <f>+BV25*BW$133/BV$133</f>
        <v>21.544670286660121</v>
      </c>
      <c r="BX25" s="1398">
        <f t="shared" ref="BX25:CZ25" si="93">+BW25*BX$133/BW$133</f>
        <v>21.616204927015033</v>
      </c>
      <c r="BY25" s="1398">
        <f t="shared" si="93"/>
        <v>21.687977083409997</v>
      </c>
      <c r="BZ25" s="1398">
        <f t="shared" si="93"/>
        <v>21.759987544468107</v>
      </c>
      <c r="CA25" s="1398">
        <f t="shared" si="93"/>
        <v>21.832237101430913</v>
      </c>
      <c r="CB25" s="1398">
        <f t="shared" si="93"/>
        <v>21.878825528741867</v>
      </c>
      <c r="CC25" s="1398">
        <f t="shared" si="93"/>
        <v>21.925513372413558</v>
      </c>
      <c r="CD25" s="1398">
        <f t="shared" si="93"/>
        <v>21.972300844593363</v>
      </c>
      <c r="CE25" s="1398">
        <f t="shared" si="93"/>
        <v>22.01918815788137</v>
      </c>
      <c r="CF25" s="1398">
        <f t="shared" si="93"/>
        <v>22.066175525331335</v>
      </c>
      <c r="CG25" s="1398">
        <f t="shared" si="93"/>
        <v>22.081432025482624</v>
      </c>
      <c r="CH25" s="1398">
        <f t="shared" si="93"/>
        <v>22.096699073941053</v>
      </c>
      <c r="CI25" s="1398">
        <f t="shared" si="93"/>
        <v>22.111976677999699</v>
      </c>
      <c r="CJ25" s="1398">
        <f t="shared" si="93"/>
        <v>22.127264844956677</v>
      </c>
      <c r="CK25" s="1398">
        <f t="shared" si="93"/>
        <v>22.142563582115145</v>
      </c>
      <c r="CL25" s="1398">
        <f t="shared" si="93"/>
        <v>22.147749174896123</v>
      </c>
      <c r="CM25" s="1398">
        <f t="shared" si="93"/>
        <v>22.152935982097123</v>
      </c>
      <c r="CN25" s="1398">
        <f t="shared" si="93"/>
        <v>22.158124004002548</v>
      </c>
      <c r="CO25" s="1398">
        <f t="shared" si="93"/>
        <v>22.163313240896873</v>
      </c>
      <c r="CP25" s="1398">
        <f t="shared" si="93"/>
        <v>22.16850369306464</v>
      </c>
      <c r="CQ25" s="1398">
        <f t="shared" si="93"/>
        <v>22.176370321670593</v>
      </c>
      <c r="CR25" s="1398">
        <f t="shared" si="93"/>
        <v>22.184239741797636</v>
      </c>
      <c r="CS25" s="1398">
        <f t="shared" si="93"/>
        <v>22.19211195443636</v>
      </c>
      <c r="CT25" s="1398">
        <f t="shared" si="93"/>
        <v>22.199986960577704</v>
      </c>
      <c r="CU25" s="1398">
        <f t="shared" si="93"/>
        <v>22.207864761212956</v>
      </c>
      <c r="CV25" s="1398">
        <f t="shared" si="93"/>
        <v>22.219988729743012</v>
      </c>
      <c r="CW25" s="1398">
        <f t="shared" si="93"/>
        <v>22.232119317126994</v>
      </c>
      <c r="CX25" s="1398">
        <f t="shared" si="93"/>
        <v>22.244256526978344</v>
      </c>
      <c r="CY25" s="1398">
        <f t="shared" si="93"/>
        <v>22.256400362912476</v>
      </c>
      <c r="CZ25" s="1398">
        <f t="shared" si="93"/>
        <v>22.268550828546775</v>
      </c>
    </row>
    <row r="26" spans="1:104" ht="13" x14ac:dyDescent="0.3">
      <c r="A26" s="875" t="str">
        <f>'HyARC Physical Property Data'!A71</f>
        <v>Commercial Natural Gas</v>
      </c>
      <c r="B26" s="260">
        <v>2011</v>
      </c>
      <c r="C26" s="874">
        <f>VLOOKUP(ref_year,DeflatorTable,2,FALSE)/VLOOKUP(B26,DeflatorTable,2,FALSE)</f>
        <v>1.0784554773635862</v>
      </c>
      <c r="D26" s="1247" t="str">
        <f>'HyARC Physical Property Data'!H71</f>
        <v>mmBtu</v>
      </c>
      <c r="E26" s="874" t="s">
        <v>1058</v>
      </c>
      <c r="F26" s="260">
        <f>'HyARC Physical Property Data'!$E$6</f>
        <v>47.141269049911173</v>
      </c>
      <c r="G26" s="260">
        <f>'HyARC Physical Property Data'!$I$6</f>
        <v>52.224661236371581</v>
      </c>
      <c r="H26" s="1069">
        <v>12.491836786393147</v>
      </c>
      <c r="I26" s="1069">
        <v>12.491836786393147</v>
      </c>
      <c r="J26" s="1069">
        <v>12.491836786393147</v>
      </c>
      <c r="K26" s="1069">
        <v>11.540201846875071</v>
      </c>
      <c r="L26" s="1069">
        <v>11.906633267965836</v>
      </c>
      <c r="M26" s="1069">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9">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9">
        <f>'AEO Data'!$C$30*BB26</f>
        <v>16.705094767552271</v>
      </c>
      <c r="BR26" s="260">
        <f t="shared" ref="BR26:BU28" si="97">($BV26-$BQ26)/5+BQ26</f>
        <v>16.800578907524393</v>
      </c>
      <c r="BS26" s="260">
        <f t="shared" si="97"/>
        <v>16.896063047496515</v>
      </c>
      <c r="BT26" s="260">
        <f t="shared" si="97"/>
        <v>16.991547187468637</v>
      </c>
      <c r="BU26" s="260">
        <f t="shared" si="97"/>
        <v>17.087031327440759</v>
      </c>
      <c r="BV26" s="963">
        <f>'AEO Data'!$D$30*BQ26</f>
        <v>17.182515467412887</v>
      </c>
      <c r="BW26" s="1398">
        <f>+BV26*BW$134/BV$134</f>
        <v>17.239566471118206</v>
      </c>
      <c r="BX26" s="1398">
        <f t="shared" ref="BX26:CZ26" si="98">+BW26*BX$134/BW$134</f>
        <v>17.296806900931124</v>
      </c>
      <c r="BY26" s="1398">
        <f t="shared" si="98"/>
        <v>17.354237385802019</v>
      </c>
      <c r="BZ26" s="1398">
        <f t="shared" si="98"/>
        <v>17.41185855676957</v>
      </c>
      <c r="CA26" s="1398">
        <f t="shared" si="98"/>
        <v>17.469671046967683</v>
      </c>
      <c r="CB26" s="1398">
        <f t="shared" si="98"/>
        <v>17.506950071372589</v>
      </c>
      <c r="CC26" s="1398">
        <f t="shared" si="98"/>
        <v>17.544308646540465</v>
      </c>
      <c r="CD26" s="1398">
        <f t="shared" si="98"/>
        <v>17.581746942226928</v>
      </c>
      <c r="CE26" s="1398">
        <f t="shared" si="98"/>
        <v>17.619265128549845</v>
      </c>
      <c r="CF26" s="1398">
        <f t="shared" si="98"/>
        <v>17.656863375990099</v>
      </c>
      <c r="CG26" s="1398">
        <f t="shared" si="98"/>
        <v>17.669071288433191</v>
      </c>
      <c r="CH26" s="1398">
        <f t="shared" si="98"/>
        <v>17.681287641397287</v>
      </c>
      <c r="CI26" s="1398">
        <f t="shared" si="98"/>
        <v>17.693512440718141</v>
      </c>
      <c r="CJ26" s="1398">
        <f t="shared" si="98"/>
        <v>17.705745692235549</v>
      </c>
      <c r="CK26" s="1398">
        <f t="shared" si="98"/>
        <v>17.717987401793337</v>
      </c>
      <c r="CL26" s="1398">
        <f t="shared" si="98"/>
        <v>17.722136797920101</v>
      </c>
      <c r="CM26" s="1398">
        <f t="shared" si="98"/>
        <v>17.726287165798784</v>
      </c>
      <c r="CN26" s="1398">
        <f t="shared" si="98"/>
        <v>17.730438505656959</v>
      </c>
      <c r="CO26" s="1398">
        <f t="shared" si="98"/>
        <v>17.734590817722253</v>
      </c>
      <c r="CP26" s="1398">
        <f t="shared" si="98"/>
        <v>17.738744102222352</v>
      </c>
      <c r="CQ26" s="1398">
        <f t="shared" si="98"/>
        <v>17.745038803647411</v>
      </c>
      <c r="CR26" s="1398">
        <f t="shared" si="98"/>
        <v>17.751335738785624</v>
      </c>
      <c r="CS26" s="1398">
        <f t="shared" si="98"/>
        <v>17.75763490842964</v>
      </c>
      <c r="CT26" s="1398">
        <f t="shared" si="98"/>
        <v>17.763936313372383</v>
      </c>
      <c r="CU26" s="1398">
        <f t="shared" si="98"/>
        <v>17.770239954407064</v>
      </c>
      <c r="CV26" s="1398">
        <f t="shared" si="98"/>
        <v>17.779941284647286</v>
      </c>
      <c r="CW26" s="1398">
        <f t="shared" si="98"/>
        <v>17.789647911147362</v>
      </c>
      <c r="CX26" s="1398">
        <f t="shared" si="98"/>
        <v>17.799359836798683</v>
      </c>
      <c r="CY26" s="1398">
        <f t="shared" si="98"/>
        <v>17.809077064494225</v>
      </c>
      <c r="CZ26" s="1398">
        <f t="shared" si="98"/>
        <v>17.818799597128535</v>
      </c>
    </row>
    <row r="27" spans="1:104" ht="13" x14ac:dyDescent="0.3">
      <c r="A27" s="875" t="str">
        <f>'HyARC Physical Property Data'!A72</f>
        <v>Industrial Natural Gas</v>
      </c>
      <c r="B27" s="260">
        <v>2011</v>
      </c>
      <c r="C27" s="874">
        <f t="shared" ref="C27:C35" si="99">VLOOKUP(ref_year,DeflatorTable,2,FALSE)/VLOOKUP(B27,DeflatorTable,2,FALSE)</f>
        <v>1.0784554773635862</v>
      </c>
      <c r="D27" s="1247" t="str">
        <f>'HyARC Physical Property Data'!H72</f>
        <v>mmBtu</v>
      </c>
      <c r="E27" s="874" t="s">
        <v>1058</v>
      </c>
      <c r="F27" s="260">
        <f>'HyARC Physical Property Data'!$E$6</f>
        <v>47.141269049911173</v>
      </c>
      <c r="G27" s="260">
        <f>'HyARC Physical Property Data'!$I$6</f>
        <v>52.224661236371581</v>
      </c>
      <c r="H27" s="1069">
        <v>8.3524006010892204</v>
      </c>
      <c r="I27" s="1069">
        <v>8.3524006010892204</v>
      </c>
      <c r="J27" s="1069">
        <v>8.3524006010892204</v>
      </c>
      <c r="K27" s="1069">
        <v>7.891606632326889</v>
      </c>
      <c r="L27" s="1069">
        <v>9.2420298006250725</v>
      </c>
      <c r="M27" s="1069">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9">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9">
        <f>'AEO Data'!$C$30*BB27</f>
        <v>10.647150755989088</v>
      </c>
      <c r="BR27" s="260">
        <f t="shared" si="97"/>
        <v>10.708008479170871</v>
      </c>
      <c r="BS27" s="260">
        <f t="shared" si="97"/>
        <v>10.768866202352655</v>
      </c>
      <c r="BT27" s="260">
        <f t="shared" si="97"/>
        <v>10.829723925534438</v>
      </c>
      <c r="BU27" s="260">
        <f t="shared" si="97"/>
        <v>10.890581648716221</v>
      </c>
      <c r="BV27" s="963">
        <f>'AEO Data'!$D$30*BQ27</f>
        <v>10.951439371898008</v>
      </c>
      <c r="BW27" s="1398">
        <f>+BV27*BW$135/BV$135</f>
        <v>10.987801370778188</v>
      </c>
      <c r="BX27" s="1398">
        <f t="shared" ref="BX27:CZ27" si="102">+BW27*BX$135/BW$135</f>
        <v>11.024284102186545</v>
      </c>
      <c r="BY27" s="1398">
        <f t="shared" si="102"/>
        <v>11.060887966990576</v>
      </c>
      <c r="BZ27" s="1398">
        <f t="shared" si="102"/>
        <v>11.097613367388767</v>
      </c>
      <c r="CA27" s="1398">
        <f t="shared" si="102"/>
        <v>11.134460706915034</v>
      </c>
      <c r="CB27" s="1398">
        <f t="shared" si="102"/>
        <v>11.158220847063788</v>
      </c>
      <c r="CC27" s="1398">
        <f t="shared" si="102"/>
        <v>11.18203168964661</v>
      </c>
      <c r="CD27" s="1398">
        <f t="shared" si="102"/>
        <v>11.205893342858859</v>
      </c>
      <c r="CE27" s="1398">
        <f t="shared" si="102"/>
        <v>11.229805915126768</v>
      </c>
      <c r="CF27" s="1398">
        <f t="shared" si="102"/>
        <v>11.253769515107949</v>
      </c>
      <c r="CG27" s="1398">
        <f t="shared" si="102"/>
        <v>11.261550344011113</v>
      </c>
      <c r="CH27" s="1398">
        <f t="shared" si="102"/>
        <v>11.26933655256048</v>
      </c>
      <c r="CI27" s="1398">
        <f t="shared" si="102"/>
        <v>11.277128144475522</v>
      </c>
      <c r="CJ27" s="1398">
        <f t="shared" si="102"/>
        <v>11.284925123478285</v>
      </c>
      <c r="CK27" s="1398">
        <f t="shared" si="102"/>
        <v>11.292727493293389</v>
      </c>
      <c r="CL27" s="1398">
        <f t="shared" si="102"/>
        <v>11.295372150311067</v>
      </c>
      <c r="CM27" s="1398">
        <f t="shared" si="102"/>
        <v>11.298017426684055</v>
      </c>
      <c r="CN27" s="1398">
        <f t="shared" si="102"/>
        <v>11.300663322557401</v>
      </c>
      <c r="CO27" s="1398">
        <f t="shared" si="102"/>
        <v>11.303309838076188</v>
      </c>
      <c r="CP27" s="1398">
        <f t="shared" si="102"/>
        <v>11.305956973385531</v>
      </c>
      <c r="CQ27" s="1398">
        <f t="shared" si="102"/>
        <v>11.309968961103596</v>
      </c>
      <c r="CR27" s="1398">
        <f t="shared" si="102"/>
        <v>11.31398237249995</v>
      </c>
      <c r="CS27" s="1398">
        <f t="shared" si="102"/>
        <v>11.317997208079792</v>
      </c>
      <c r="CT27" s="1398">
        <f t="shared" si="102"/>
        <v>11.3220134683485</v>
      </c>
      <c r="CU27" s="1398">
        <f t="shared" si="102"/>
        <v>11.326031153811636</v>
      </c>
      <c r="CV27" s="1398">
        <f t="shared" si="102"/>
        <v>11.332214388749156</v>
      </c>
      <c r="CW27" s="1398">
        <f t="shared" si="102"/>
        <v>11.338400999308178</v>
      </c>
      <c r="CX27" s="1398">
        <f t="shared" si="102"/>
        <v>11.344590987331557</v>
      </c>
      <c r="CY27" s="1398">
        <f t="shared" si="102"/>
        <v>11.350784354663158</v>
      </c>
      <c r="CZ27" s="1398">
        <f t="shared" si="102"/>
        <v>11.356981103147852</v>
      </c>
    </row>
    <row r="28" spans="1:104" ht="13" x14ac:dyDescent="0.3">
      <c r="A28" s="875" t="str">
        <f>'HyARC Physical Property Data'!A74</f>
        <v>Electric Utility Natural Gas</v>
      </c>
      <c r="B28" s="260">
        <v>2011</v>
      </c>
      <c r="C28" s="874">
        <f t="shared" si="99"/>
        <v>1.0784554773635862</v>
      </c>
      <c r="D28" s="1260" t="str">
        <f>'HyARC Physical Property Data'!H74</f>
        <v>mmBtu</v>
      </c>
      <c r="E28" s="874" t="s">
        <v>1058</v>
      </c>
      <c r="F28" s="260">
        <f>'HyARC Physical Property Data'!$E$6</f>
        <v>47.141269049911173</v>
      </c>
      <c r="G28" s="260">
        <f>'HyARC Physical Property Data'!$I$6</f>
        <v>52.224661236371581</v>
      </c>
      <c r="H28" s="1069">
        <v>7.4079259090132386</v>
      </c>
      <c r="I28" s="1069">
        <v>7.4079259090132386</v>
      </c>
      <c r="J28" s="1069">
        <v>7.4079259090132386</v>
      </c>
      <c r="K28" s="1069">
        <v>7.3706710915002853</v>
      </c>
      <c r="L28" s="1069">
        <v>9.3158925097981644</v>
      </c>
      <c r="M28" s="1069">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9">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9">
        <f>'AEO Data'!$C$30*BB28</f>
        <v>9.9822321396511793</v>
      </c>
      <c r="BR28" s="260">
        <f t="shared" si="97"/>
        <v>10.039289274861693</v>
      </c>
      <c r="BS28" s="260">
        <f t="shared" si="97"/>
        <v>10.096346410072206</v>
      </c>
      <c r="BT28" s="260">
        <f t="shared" si="97"/>
        <v>10.153403545282719</v>
      </c>
      <c r="BU28" s="260">
        <f t="shared" si="97"/>
        <v>10.210460680493233</v>
      </c>
      <c r="BV28" s="963">
        <f>'AEO Data'!$D$30*BQ28</f>
        <v>10.26751781570375</v>
      </c>
      <c r="BW28" s="1398">
        <f>+BV28*BW$136/BV$136</f>
        <v>10.301608993916805</v>
      </c>
      <c r="BX28" s="1398">
        <f t="shared" ref="BX28:CZ28" si="105">+BW28*BX$136/BW$136</f>
        <v>10.335813364865709</v>
      </c>
      <c r="BY28" s="1398">
        <f t="shared" si="105"/>
        <v>10.37013130438363</v>
      </c>
      <c r="BZ28" s="1398">
        <f t="shared" si="105"/>
        <v>10.404563189551611</v>
      </c>
      <c r="CA28" s="1398">
        <f t="shared" si="105"/>
        <v>10.439109398702717</v>
      </c>
      <c r="CB28" s="1398">
        <f t="shared" si="105"/>
        <v>10.461385709057588</v>
      </c>
      <c r="CC28" s="1398">
        <f t="shared" si="105"/>
        <v>10.483709555460226</v>
      </c>
      <c r="CD28" s="1398">
        <f t="shared" si="105"/>
        <v>10.506081039349146</v>
      </c>
      <c r="CE28" s="1398">
        <f t="shared" si="105"/>
        <v>10.528500262379325</v>
      </c>
      <c r="CF28" s="1398">
        <f t="shared" si="105"/>
        <v>10.550967326422667</v>
      </c>
      <c r="CG28" s="1398">
        <f t="shared" si="105"/>
        <v>10.558262239599943</v>
      </c>
      <c r="CH28" s="1398">
        <f t="shared" si="105"/>
        <v>10.565562196462466</v>
      </c>
      <c r="CI28" s="1398">
        <f t="shared" si="105"/>
        <v>10.572867200497431</v>
      </c>
      <c r="CJ28" s="1398">
        <f t="shared" si="105"/>
        <v>10.580177255194439</v>
      </c>
      <c r="CK28" s="1398">
        <f t="shared" si="105"/>
        <v>10.587492364045506</v>
      </c>
      <c r="CL28" s="1398">
        <f t="shared" si="105"/>
        <v>10.589971861226042</v>
      </c>
      <c r="CM28" s="1398">
        <f t="shared" si="105"/>
        <v>10.592451939082915</v>
      </c>
      <c r="CN28" s="1398">
        <f t="shared" si="105"/>
        <v>10.594932597752113</v>
      </c>
      <c r="CO28" s="1398">
        <f t="shared" si="105"/>
        <v>10.597413837369656</v>
      </c>
      <c r="CP28" s="1398">
        <f t="shared" si="105"/>
        <v>10.599895658071597</v>
      </c>
      <c r="CQ28" s="1398">
        <f t="shared" si="105"/>
        <v>10.603657095629963</v>
      </c>
      <c r="CR28" s="1398">
        <f t="shared" si="105"/>
        <v>10.607419867957365</v>
      </c>
      <c r="CS28" s="1398">
        <f t="shared" si="105"/>
        <v>10.611183975527453</v>
      </c>
      <c r="CT28" s="1398">
        <f t="shared" si="105"/>
        <v>10.614949418814046</v>
      </c>
      <c r="CU28" s="1398">
        <f t="shared" si="105"/>
        <v>10.618716198291134</v>
      </c>
      <c r="CV28" s="1398">
        <f t="shared" si="105"/>
        <v>10.624513287853858</v>
      </c>
      <c r="CW28" s="1398">
        <f t="shared" si="105"/>
        <v>10.630313542229239</v>
      </c>
      <c r="CX28" s="1398">
        <f t="shared" si="105"/>
        <v>10.636116963145044</v>
      </c>
      <c r="CY28" s="1398">
        <f t="shared" si="105"/>
        <v>10.641923552329986</v>
      </c>
      <c r="CZ28" s="1398">
        <f t="shared" si="105"/>
        <v>10.647733311513726</v>
      </c>
    </row>
    <row r="29" spans="1:104" ht="13" x14ac:dyDescent="0.3">
      <c r="A29" s="875" t="str">
        <f>'HyARC Physical Property Data'!A75</f>
        <v>Bio Methane</v>
      </c>
      <c r="B29" s="260">
        <v>2007</v>
      </c>
      <c r="C29" s="874">
        <f t="shared" si="99"/>
        <v>1.1446359956438654</v>
      </c>
      <c r="D29" s="1260" t="str">
        <f>'HyARC Physical Property Data'!H75</f>
        <v>mmBtu</v>
      </c>
      <c r="E29" s="874" t="s">
        <v>1058</v>
      </c>
      <c r="F29" s="260">
        <f>'HyARC Physical Property Data'!$E$6</f>
        <v>47.141269049911173</v>
      </c>
      <c r="G29" s="260">
        <f>'HyARC Physical Property Data'!$I$6</f>
        <v>52.224661236371581</v>
      </c>
      <c r="H29" s="1069">
        <v>12.42654028436019</v>
      </c>
      <c r="I29" s="1069">
        <v>12.42654028436019</v>
      </c>
      <c r="J29" s="1069">
        <v>12.42654028436019</v>
      </c>
      <c r="K29" s="1069">
        <v>12.42654028436019</v>
      </c>
      <c r="L29" s="1069">
        <v>12.42654028436019</v>
      </c>
      <c r="M29" s="1069">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98">
        <f>+BV29*BW$136/BV$136</f>
        <v>14.271092726019944</v>
      </c>
      <c r="BX29" s="1398">
        <f t="shared" ref="BX29:CZ29" si="108">+BW29*BX$136/BW$136</f>
        <v>14.318476950147966</v>
      </c>
      <c r="BY29" s="1398">
        <f t="shared" si="108"/>
        <v>14.366018503832969</v>
      </c>
      <c r="BZ29" s="1398">
        <f t="shared" si="108"/>
        <v>14.413717909455341</v>
      </c>
      <c r="CA29" s="1398">
        <f t="shared" si="108"/>
        <v>14.461575691129934</v>
      </c>
      <c r="CB29" s="1398">
        <f t="shared" si="108"/>
        <v>14.49243565590395</v>
      </c>
      <c r="CC29" s="1398">
        <f t="shared" si="108"/>
        <v>14.523361473628309</v>
      </c>
      <c r="CD29" s="1398">
        <f t="shared" si="108"/>
        <v>14.554353284828478</v>
      </c>
      <c r="CE29" s="1398">
        <f t="shared" si="108"/>
        <v>14.585411230329802</v>
      </c>
      <c r="CF29" s="1398">
        <f t="shared" si="108"/>
        <v>14.616535451258134</v>
      </c>
      <c r="CG29" s="1398">
        <f t="shared" si="108"/>
        <v>14.626641288360148</v>
      </c>
      <c r="CH29" s="1398">
        <f t="shared" si="108"/>
        <v>14.636754112613382</v>
      </c>
      <c r="CI29" s="1398">
        <f t="shared" si="108"/>
        <v>14.646873928848736</v>
      </c>
      <c r="CJ29" s="1398">
        <f t="shared" si="108"/>
        <v>14.657000741900452</v>
      </c>
      <c r="CK29" s="1398">
        <f t="shared" si="108"/>
        <v>14.667134556606111</v>
      </c>
      <c r="CL29" s="1398">
        <f t="shared" si="108"/>
        <v>14.670569469948116</v>
      </c>
      <c r="CM29" s="1398">
        <f t="shared" si="108"/>
        <v>14.674005187716483</v>
      </c>
      <c r="CN29" s="1398">
        <f t="shared" si="108"/>
        <v>14.6774417100996</v>
      </c>
      <c r="CO29" s="1398">
        <f t="shared" si="108"/>
        <v>14.6808790372859</v>
      </c>
      <c r="CP29" s="1398">
        <f t="shared" si="108"/>
        <v>14.684317169463862</v>
      </c>
      <c r="CQ29" s="1398">
        <f t="shared" si="108"/>
        <v>14.689527988881515</v>
      </c>
      <c r="CR29" s="1398">
        <f t="shared" si="108"/>
        <v>14.69474065739019</v>
      </c>
      <c r="CS29" s="1398">
        <f t="shared" si="108"/>
        <v>14.699955175646044</v>
      </c>
      <c r="CT29" s="1398">
        <f t="shared" si="108"/>
        <v>14.705171544305472</v>
      </c>
      <c r="CU29" s="1398">
        <f t="shared" si="108"/>
        <v>14.710389764025104</v>
      </c>
      <c r="CV29" s="1398">
        <f t="shared" si="108"/>
        <v>14.718420626266095</v>
      </c>
      <c r="CW29" s="1398">
        <f t="shared" si="108"/>
        <v>14.726455872806168</v>
      </c>
      <c r="CX29" s="1398">
        <f t="shared" si="108"/>
        <v>14.734495506038849</v>
      </c>
      <c r="CY29" s="1398">
        <f t="shared" si="108"/>
        <v>14.74253952835897</v>
      </c>
      <c r="CZ29" s="1398">
        <f t="shared" si="108"/>
        <v>14.750587942162673</v>
      </c>
    </row>
    <row r="30" spans="1:104" ht="13" x14ac:dyDescent="0.3">
      <c r="A30" s="964" t="str">
        <f>'HyARC Physical Property Data'!A85</f>
        <v>Woody Biomass</v>
      </c>
      <c r="B30" s="260">
        <v>2005</v>
      </c>
      <c r="C30" s="874">
        <f>VLOOKUP(ref_year,DeflatorTable,2,FALSE)/VLOOKUP(B30,DeflatorTable,2,FALSE)</f>
        <v>1.2112501494873942</v>
      </c>
      <c r="D30" s="1260" t="str">
        <f>+'HyARC Physical Property Data'!$H$85</f>
        <v>kg</v>
      </c>
      <c r="E30" s="901" t="s">
        <v>1052</v>
      </c>
      <c r="F30" s="260">
        <f>'HyARC Physical Property Data'!$E$45</f>
        <v>19.551069237418005</v>
      </c>
      <c r="G30" s="260">
        <f>'HyARC Physical Property Data'!$I$45</f>
        <v>20.588656379262464</v>
      </c>
      <c r="H30" s="1070">
        <v>1.3438238843289665</v>
      </c>
      <c r="I30" s="1070">
        <v>1.3438238843289665</v>
      </c>
      <c r="J30" s="1070">
        <v>1.3438238843289665</v>
      </c>
      <c r="K30" s="1070">
        <v>1.3438238843289665</v>
      </c>
      <c r="L30" s="1070">
        <v>1.3438238843289665</v>
      </c>
      <c r="M30" s="1070">
        <v>1.3438238843289665</v>
      </c>
      <c r="N30" s="965">
        <f>1.27*($C$30)</f>
        <v>1.5382876898489906</v>
      </c>
      <c r="O30" s="965">
        <f>1.27*($C$30)</f>
        <v>1.5382876898489906</v>
      </c>
      <c r="P30" s="965">
        <f>1.28*($C$30)</f>
        <v>1.5504001913438645</v>
      </c>
      <c r="Q30" s="965">
        <f>1.32*($C$30)</f>
        <v>1.5988501973233604</v>
      </c>
      <c r="R30" s="965">
        <f>1.32*($C$30)</f>
        <v>1.5988501973233604</v>
      </c>
      <c r="S30" s="965">
        <f>1.34*($C$30)</f>
        <v>1.6230752003131084</v>
      </c>
      <c r="T30" s="965">
        <f>1.34*($C$30)</f>
        <v>1.6230752003131084</v>
      </c>
      <c r="U30" s="965">
        <f>1.36*($C$30)</f>
        <v>1.6473002033028561</v>
      </c>
      <c r="V30" s="965">
        <f>1.36*($C$30)</f>
        <v>1.6473002033028561</v>
      </c>
      <c r="W30" s="965">
        <f>1.38*($C$30)</f>
        <v>1.6715252062926038</v>
      </c>
      <c r="X30" s="965">
        <f>1.4*($C$30)</f>
        <v>1.6957502092823518</v>
      </c>
      <c r="Y30" s="965">
        <f>1.46*($C$30)</f>
        <v>1.7684252182515954</v>
      </c>
      <c r="Z30" s="965">
        <f>1.48*($C$30)</f>
        <v>1.7926502212413433</v>
      </c>
      <c r="AA30" s="965">
        <f>1.48*($C$30)</f>
        <v>1.7926502212413433</v>
      </c>
      <c r="AB30" s="965">
        <f>1.51*($C$30)</f>
        <v>1.8289877257259652</v>
      </c>
      <c r="AC30" s="965">
        <f>1.52*($C$30)</f>
        <v>1.8411002272208392</v>
      </c>
      <c r="AD30" s="965">
        <f>1.62*($C$30)</f>
        <v>1.9622252421695787</v>
      </c>
      <c r="AE30" s="965">
        <f>1.72*($C$30)</f>
        <v>2.083350257118318</v>
      </c>
      <c r="AF30" s="965">
        <f>1.82*($C$30)</f>
        <v>2.2044752720670573</v>
      </c>
      <c r="AG30" s="965">
        <f>1.91*($C$30)</f>
        <v>2.3134877855209228</v>
      </c>
      <c r="AH30" s="965">
        <f>2.01*($C$30)</f>
        <v>2.4346128004696621</v>
      </c>
      <c r="AI30" s="965">
        <f>2.11*($C$30)</f>
        <v>2.5557378154184014</v>
      </c>
      <c r="AJ30" s="965">
        <f>2.2*($C$30)</f>
        <v>2.6647503288722674</v>
      </c>
      <c r="AK30" s="965">
        <f>2.3*($C$30)</f>
        <v>2.7858753438210062</v>
      </c>
      <c r="AL30" s="965">
        <f>2.4*($C$30)</f>
        <v>2.9070003587697459</v>
      </c>
      <c r="AM30" s="965">
        <f>2.5*($C$30)</f>
        <v>3.0281253737184857</v>
      </c>
      <c r="AN30" s="965">
        <f>2.57*($C$30)</f>
        <v>3.1129128841826028</v>
      </c>
      <c r="AO30" s="965">
        <f>2.64*($C$30)</f>
        <v>3.1977003946467208</v>
      </c>
      <c r="AP30" s="965">
        <f>2.71*($C$30)</f>
        <v>3.282487905110838</v>
      </c>
      <c r="AQ30" s="965">
        <f>2.78*($C$30)</f>
        <v>3.3672754155749556</v>
      </c>
      <c r="AR30" s="965">
        <f>2.85*($C$30)</f>
        <v>3.4520629260390736</v>
      </c>
      <c r="AS30" s="965">
        <f>2.92*($C$30)</f>
        <v>3.5368504365031908</v>
      </c>
      <c r="AT30" s="965">
        <f>2.99*($C$30)</f>
        <v>3.6216379469673088</v>
      </c>
      <c r="AU30" s="965">
        <f>3.07*($C$30)</f>
        <v>3.7185379589263001</v>
      </c>
      <c r="AV30" s="965">
        <f>3.14*($C$30)</f>
        <v>3.8033254693904177</v>
      </c>
      <c r="AW30" s="965">
        <f>3.21*($C$30)</f>
        <v>3.8881129798545353</v>
      </c>
      <c r="AX30" s="965">
        <f>3.28*($C$30)</f>
        <v>3.9729004903186529</v>
      </c>
      <c r="AY30" s="965">
        <f>3.35*($C$30)</f>
        <v>4.0576880007827709</v>
      </c>
      <c r="AZ30" s="965">
        <f>3.42*($C$30)</f>
        <v>4.1424755112468876</v>
      </c>
      <c r="BA30" s="965">
        <f>3.49*($C$30)</f>
        <v>4.2272630217110061</v>
      </c>
      <c r="BB30" s="965">
        <f>3.56*($C$30)</f>
        <v>4.3120505321751237</v>
      </c>
      <c r="BC30" s="965">
        <f>3.64*($C$30)</f>
        <v>4.4089505441341146</v>
      </c>
      <c r="BD30" s="965">
        <f>3.71*($C$30)</f>
        <v>4.4937380545982322</v>
      </c>
      <c r="BE30" s="965">
        <f>3.78*($C$30)</f>
        <v>4.5785255650623498</v>
      </c>
      <c r="BF30" s="965">
        <f>3.85*($C$30)</f>
        <v>4.6633130755264673</v>
      </c>
      <c r="BG30" s="965">
        <f>3.92*($C$30)</f>
        <v>4.7481005859905849</v>
      </c>
      <c r="BH30" s="965">
        <f>3.99*($C$30)</f>
        <v>4.8328880964547034</v>
      </c>
      <c r="BI30" s="965">
        <f>4.06*($C$30)</f>
        <v>4.9176756069188201</v>
      </c>
      <c r="BJ30" s="965">
        <f>4.14*($C$30)</f>
        <v>5.0145756188778119</v>
      </c>
      <c r="BK30" s="965">
        <f>4.21*($C$30)</f>
        <v>5.0993631293419295</v>
      </c>
      <c r="BL30" s="965">
        <f>4.28*($C$30)</f>
        <v>5.1841506398060471</v>
      </c>
      <c r="BM30" s="965">
        <f>4.35*($C$30)</f>
        <v>5.2689381502701647</v>
      </c>
      <c r="BN30" s="965">
        <f>4.42*($C$30)</f>
        <v>5.3537256607342822</v>
      </c>
      <c r="BO30" s="965">
        <f>4.49*($C$30)</f>
        <v>5.4385131711983998</v>
      </c>
      <c r="BP30" s="965">
        <f>4.56*($C$30)</f>
        <v>5.5233006816625174</v>
      </c>
      <c r="BQ30" s="965">
        <f>4.63*($C$30)</f>
        <v>5.608088192126635</v>
      </c>
      <c r="BR30" s="965">
        <f>4.71*($C$30)</f>
        <v>5.7049882040856268</v>
      </c>
      <c r="BS30" s="965">
        <f>4.78*($C$30)</f>
        <v>5.7897757145497444</v>
      </c>
      <c r="BT30" s="965">
        <f>4.85*($C$30)</f>
        <v>5.8745632250138611</v>
      </c>
      <c r="BU30" s="965">
        <f>4.92*($C$30)</f>
        <v>5.9593507354779796</v>
      </c>
      <c r="BV30" s="966">
        <f>4.99*($C$30)</f>
        <v>6.0441382459420971</v>
      </c>
      <c r="BW30" s="1398">
        <f>+BV30*BW$137/BV$137</f>
        <v>6.0586659764672328</v>
      </c>
      <c r="BX30" s="1398">
        <f t="shared" ref="BX30:CZ30" si="109">+BW30*BX$137/BW$137</f>
        <v>6.0732286259412112</v>
      </c>
      <c r="BY30" s="1398">
        <f t="shared" si="109"/>
        <v>6.0878262782954495</v>
      </c>
      <c r="BZ30" s="1398">
        <f t="shared" si="109"/>
        <v>6.1024590176630999</v>
      </c>
      <c r="CA30" s="1398">
        <f t="shared" si="109"/>
        <v>6.1171269283795393</v>
      </c>
      <c r="CB30" s="1398">
        <f t="shared" si="109"/>
        <v>6.1299667153690152</v>
      </c>
      <c r="CC30" s="1398">
        <f t="shared" si="109"/>
        <v>6.1428334529403346</v>
      </c>
      <c r="CD30" s="1398">
        <f t="shared" si="109"/>
        <v>6.155727197662495</v>
      </c>
      <c r="CE30" s="1398">
        <f t="shared" si="109"/>
        <v>6.1686480062232301</v>
      </c>
      <c r="CF30" s="1398">
        <f t="shared" si="109"/>
        <v>6.18159593542926</v>
      </c>
      <c r="CG30" s="1398">
        <f t="shared" si="109"/>
        <v>6.197524392005751</v>
      </c>
      <c r="CH30" s="1398">
        <f t="shared" si="109"/>
        <v>6.2134938923080965</v>
      </c>
      <c r="CI30" s="1398">
        <f t="shared" si="109"/>
        <v>6.229504542095909</v>
      </c>
      <c r="CJ30" s="1398">
        <f t="shared" si="109"/>
        <v>6.245556447401321</v>
      </c>
      <c r="CK30" s="1398">
        <f t="shared" si="109"/>
        <v>6.2616497145296828</v>
      </c>
      <c r="CL30" s="1398">
        <f t="shared" si="109"/>
        <v>6.2750522655841658</v>
      </c>
      <c r="CM30" s="1398">
        <f t="shared" si="109"/>
        <v>6.2884835037072264</v>
      </c>
      <c r="CN30" s="1398">
        <f t="shared" si="109"/>
        <v>6.3019434903011975</v>
      </c>
      <c r="CO30" s="1398">
        <f t="shared" si="109"/>
        <v>6.3154322868998385</v>
      </c>
      <c r="CP30" s="1398">
        <f t="shared" si="109"/>
        <v>6.3289499551686168</v>
      </c>
      <c r="CQ30" s="1398">
        <f t="shared" si="109"/>
        <v>6.3413225489579119</v>
      </c>
      <c r="CR30" s="1398">
        <f t="shared" si="109"/>
        <v>6.3537193301840116</v>
      </c>
      <c r="CS30" s="1398">
        <f t="shared" si="109"/>
        <v>6.3661403461314299</v>
      </c>
      <c r="CT30" s="1398">
        <f t="shared" si="109"/>
        <v>6.3785856441771198</v>
      </c>
      <c r="CU30" s="1398">
        <f t="shared" si="109"/>
        <v>6.3910552717906537</v>
      </c>
      <c r="CV30" s="1398">
        <f t="shared" si="109"/>
        <v>6.4057772391562917</v>
      </c>
      <c r="CW30" s="1398">
        <f t="shared" si="109"/>
        <v>6.4205331189689208</v>
      </c>
      <c r="CX30" s="1398">
        <f t="shared" si="109"/>
        <v>6.4353229893467718</v>
      </c>
      <c r="CY30" s="1398">
        <f t="shared" si="109"/>
        <v>6.4501469285880244</v>
      </c>
      <c r="CZ30" s="1398">
        <f t="shared" si="109"/>
        <v>6.4650050151712186</v>
      </c>
    </row>
    <row r="31" spans="1:104" ht="13" x14ac:dyDescent="0.3">
      <c r="A31" s="964" t="str">
        <f>'HyARC Physical Property Data'!$A$87</f>
        <v>Woody Biomass MYPP</v>
      </c>
      <c r="B31" s="260">
        <v>2007</v>
      </c>
      <c r="C31" s="874">
        <f>VLOOKUP(ref_year,DeflatorTable,2,FALSE)/VLOOKUP(B31,DeflatorTable,2,FALSE)</f>
        <v>1.1446359956438654</v>
      </c>
      <c r="D31" s="1260" t="str">
        <f>+'HyARC Physical Property Data'!$H$87</f>
        <v>kg</v>
      </c>
      <c r="E31" s="901" t="s">
        <v>1052</v>
      </c>
      <c r="F31" s="260">
        <v>18.608000000000001</v>
      </c>
      <c r="G31" s="260"/>
      <c r="H31" s="1069">
        <v>4.4443250214961303</v>
      </c>
      <c r="I31" s="1069">
        <v>4.4443250214961303</v>
      </c>
      <c r="J31" s="1069">
        <v>4.4443250214961303</v>
      </c>
      <c r="K31" s="1069">
        <v>4.4443250214961303</v>
      </c>
      <c r="L31" s="1069">
        <v>4.4443250214961303</v>
      </c>
      <c r="M31" s="1069">
        <v>4.4443250214961303</v>
      </c>
      <c r="N31" s="260">
        <f>4.44432502149613*$C$31</f>
        <v>5.0871343959451663</v>
      </c>
      <c r="O31" s="965">
        <f t="shared" ref="O31:T31" si="110">N31-($N$31-$U$31)/7</f>
        <v>4.9664808197552768</v>
      </c>
      <c r="P31" s="965">
        <f t="shared" si="110"/>
        <v>4.8458272435653873</v>
      </c>
      <c r="Q31" s="965">
        <f t="shared" si="110"/>
        <v>4.7251736673754978</v>
      </c>
      <c r="R31" s="965">
        <f t="shared" si="110"/>
        <v>4.6045200911856083</v>
      </c>
      <c r="S31" s="965">
        <f t="shared" si="110"/>
        <v>4.4838665149957189</v>
      </c>
      <c r="T31" s="965">
        <f t="shared" si="110"/>
        <v>4.3632129388058294</v>
      </c>
      <c r="U31" s="965">
        <f>3.70647033533964*$C$31</f>
        <v>4.2425593626159408</v>
      </c>
      <c r="V31" s="965">
        <f t="shared" ref="V31:BV31" si="111">3.70647033533964*$C$31</f>
        <v>4.2425593626159408</v>
      </c>
      <c r="W31" s="965">
        <f t="shared" si="111"/>
        <v>4.2425593626159408</v>
      </c>
      <c r="X31" s="965">
        <f t="shared" si="111"/>
        <v>4.2425593626159408</v>
      </c>
      <c r="Y31" s="965">
        <f t="shared" si="111"/>
        <v>4.2425593626159408</v>
      </c>
      <c r="Z31" s="965">
        <f t="shared" si="111"/>
        <v>4.2425593626159408</v>
      </c>
      <c r="AA31" s="965">
        <f t="shared" si="111"/>
        <v>4.2425593626159408</v>
      </c>
      <c r="AB31" s="965">
        <f t="shared" si="111"/>
        <v>4.2425593626159408</v>
      </c>
      <c r="AC31" s="965">
        <f t="shared" si="111"/>
        <v>4.2425593626159408</v>
      </c>
      <c r="AD31" s="965">
        <f t="shared" si="111"/>
        <v>4.2425593626159408</v>
      </c>
      <c r="AE31" s="965">
        <f t="shared" si="111"/>
        <v>4.2425593626159408</v>
      </c>
      <c r="AF31" s="965">
        <f t="shared" si="111"/>
        <v>4.2425593626159408</v>
      </c>
      <c r="AG31" s="965">
        <f t="shared" si="111"/>
        <v>4.2425593626159408</v>
      </c>
      <c r="AH31" s="965">
        <f t="shared" si="111"/>
        <v>4.2425593626159408</v>
      </c>
      <c r="AI31" s="965">
        <f t="shared" si="111"/>
        <v>4.2425593626159408</v>
      </c>
      <c r="AJ31" s="965">
        <f t="shared" si="111"/>
        <v>4.2425593626159408</v>
      </c>
      <c r="AK31" s="965">
        <f t="shared" si="111"/>
        <v>4.2425593626159408</v>
      </c>
      <c r="AL31" s="965">
        <f t="shared" si="111"/>
        <v>4.2425593626159408</v>
      </c>
      <c r="AM31" s="965">
        <f t="shared" si="111"/>
        <v>4.2425593626159408</v>
      </c>
      <c r="AN31" s="965">
        <f t="shared" si="111"/>
        <v>4.2425593626159408</v>
      </c>
      <c r="AO31" s="965">
        <f t="shared" si="111"/>
        <v>4.2425593626159408</v>
      </c>
      <c r="AP31" s="965">
        <f t="shared" si="111"/>
        <v>4.2425593626159408</v>
      </c>
      <c r="AQ31" s="965">
        <f t="shared" si="111"/>
        <v>4.2425593626159408</v>
      </c>
      <c r="AR31" s="965">
        <f t="shared" si="111"/>
        <v>4.2425593626159408</v>
      </c>
      <c r="AS31" s="965">
        <f t="shared" si="111"/>
        <v>4.2425593626159408</v>
      </c>
      <c r="AT31" s="965">
        <f t="shared" si="111"/>
        <v>4.2425593626159408</v>
      </c>
      <c r="AU31" s="965">
        <f t="shared" si="111"/>
        <v>4.2425593626159408</v>
      </c>
      <c r="AV31" s="965">
        <f t="shared" si="111"/>
        <v>4.2425593626159408</v>
      </c>
      <c r="AW31" s="965">
        <f t="shared" si="111"/>
        <v>4.2425593626159408</v>
      </c>
      <c r="AX31" s="965">
        <f t="shared" si="111"/>
        <v>4.2425593626159408</v>
      </c>
      <c r="AY31" s="965">
        <f t="shared" si="111"/>
        <v>4.2425593626159408</v>
      </c>
      <c r="AZ31" s="965">
        <f t="shared" si="111"/>
        <v>4.2425593626159408</v>
      </c>
      <c r="BA31" s="965">
        <f t="shared" si="111"/>
        <v>4.2425593626159408</v>
      </c>
      <c r="BB31" s="965">
        <f t="shared" si="111"/>
        <v>4.2425593626159408</v>
      </c>
      <c r="BC31" s="965">
        <f t="shared" si="111"/>
        <v>4.2425593626159408</v>
      </c>
      <c r="BD31" s="965">
        <f t="shared" si="111"/>
        <v>4.2425593626159408</v>
      </c>
      <c r="BE31" s="965">
        <f t="shared" si="111"/>
        <v>4.2425593626159408</v>
      </c>
      <c r="BF31" s="965">
        <f t="shared" si="111"/>
        <v>4.2425593626159408</v>
      </c>
      <c r="BG31" s="965">
        <f t="shared" si="111"/>
        <v>4.2425593626159408</v>
      </c>
      <c r="BH31" s="965">
        <f t="shared" si="111"/>
        <v>4.2425593626159408</v>
      </c>
      <c r="BI31" s="965">
        <f t="shared" si="111"/>
        <v>4.2425593626159408</v>
      </c>
      <c r="BJ31" s="965">
        <f t="shared" si="111"/>
        <v>4.2425593626159408</v>
      </c>
      <c r="BK31" s="965">
        <f t="shared" si="111"/>
        <v>4.2425593626159408</v>
      </c>
      <c r="BL31" s="965">
        <f t="shared" si="111"/>
        <v>4.2425593626159408</v>
      </c>
      <c r="BM31" s="965">
        <f t="shared" si="111"/>
        <v>4.2425593626159408</v>
      </c>
      <c r="BN31" s="965">
        <f t="shared" si="111"/>
        <v>4.2425593626159408</v>
      </c>
      <c r="BO31" s="965">
        <f t="shared" si="111"/>
        <v>4.2425593626159408</v>
      </c>
      <c r="BP31" s="965">
        <f t="shared" si="111"/>
        <v>4.2425593626159408</v>
      </c>
      <c r="BQ31" s="965">
        <f t="shared" si="111"/>
        <v>4.2425593626159408</v>
      </c>
      <c r="BR31" s="965">
        <f t="shared" si="111"/>
        <v>4.2425593626159408</v>
      </c>
      <c r="BS31" s="965">
        <f t="shared" si="111"/>
        <v>4.2425593626159408</v>
      </c>
      <c r="BT31" s="965">
        <f t="shared" si="111"/>
        <v>4.2425593626159408</v>
      </c>
      <c r="BU31" s="965">
        <f t="shared" si="111"/>
        <v>4.2425593626159408</v>
      </c>
      <c r="BV31" s="965">
        <f t="shared" si="111"/>
        <v>4.2425593626159408</v>
      </c>
      <c r="BW31" s="1398">
        <f>+BV31*BW$137/BV$137</f>
        <v>4.2527568062628252</v>
      </c>
      <c r="BX31" s="1398">
        <f t="shared" ref="BX31:CZ31" si="112">+BW31*BX$137/BW$137</f>
        <v>4.2629787605524712</v>
      </c>
      <c r="BY31" s="1398">
        <f t="shared" si="112"/>
        <v>4.2732252843988219</v>
      </c>
      <c r="BZ31" s="1398">
        <f t="shared" si="112"/>
        <v>4.2834964368574244</v>
      </c>
      <c r="CA31" s="1398">
        <f t="shared" si="112"/>
        <v>4.2937922771257746</v>
      </c>
      <c r="CB31" s="1398">
        <f t="shared" si="112"/>
        <v>4.302804903291757</v>
      </c>
      <c r="CC31" s="1398">
        <f t="shared" si="112"/>
        <v>4.3118364468680763</v>
      </c>
      <c r="CD31" s="1398">
        <f t="shared" si="112"/>
        <v>4.3208869475621841</v>
      </c>
      <c r="CE31" s="1398">
        <f t="shared" si="112"/>
        <v>4.3299564451648767</v>
      </c>
      <c r="CF31" s="1398">
        <f t="shared" si="112"/>
        <v>4.3390449795504713</v>
      </c>
      <c r="CG31" s="1398">
        <f t="shared" si="112"/>
        <v>4.3502256342328796</v>
      </c>
      <c r="CH31" s="1398">
        <f t="shared" si="112"/>
        <v>4.361435098720146</v>
      </c>
      <c r="CI31" s="1398">
        <f t="shared" si="112"/>
        <v>4.3726734472480695</v>
      </c>
      <c r="CJ31" s="1398">
        <f t="shared" si="112"/>
        <v>4.3839407542437394</v>
      </c>
      <c r="CK31" s="1398">
        <f t="shared" si="112"/>
        <v>4.3952370943260251</v>
      </c>
      <c r="CL31" s="1398">
        <f t="shared" si="112"/>
        <v>4.4046447412304142</v>
      </c>
      <c r="CM31" s="1398">
        <f t="shared" si="112"/>
        <v>4.4140725244365262</v>
      </c>
      <c r="CN31" s="1398">
        <f t="shared" si="112"/>
        <v>4.4235204870444758</v>
      </c>
      <c r="CO31" s="1398">
        <f t="shared" si="112"/>
        <v>4.4329886722466272</v>
      </c>
      <c r="CP31" s="1398">
        <f t="shared" si="112"/>
        <v>4.4424771233277953</v>
      </c>
      <c r="CQ31" s="1398">
        <f t="shared" si="112"/>
        <v>4.4511618127714661</v>
      </c>
      <c r="CR31" s="1398">
        <f t="shared" si="112"/>
        <v>4.4598634800922632</v>
      </c>
      <c r="CS31" s="1398">
        <f t="shared" si="112"/>
        <v>4.4685821584805847</v>
      </c>
      <c r="CT31" s="1398">
        <f t="shared" si="112"/>
        <v>4.4773178811917154</v>
      </c>
      <c r="CU31" s="1398">
        <f t="shared" si="112"/>
        <v>4.486070681545951</v>
      </c>
      <c r="CV31" s="1398">
        <f t="shared" si="112"/>
        <v>4.4964044657748525</v>
      </c>
      <c r="CW31" s="1398">
        <f t="shared" si="112"/>
        <v>4.5067620541531026</v>
      </c>
      <c r="CX31" s="1398">
        <f t="shared" si="112"/>
        <v>4.5171435015141972</v>
      </c>
      <c r="CY31" s="1398">
        <f t="shared" si="112"/>
        <v>4.5275488628179446</v>
      </c>
      <c r="CZ31" s="1398">
        <f t="shared" si="112"/>
        <v>4.537978193150753</v>
      </c>
    </row>
    <row r="32" spans="1:104" ht="13" x14ac:dyDescent="0.3">
      <c r="A32" s="970" t="str">
        <f>'HyARC Physical Property Data'!A79</f>
        <v>Electric Utility Steam Coal</v>
      </c>
      <c r="B32" s="260">
        <v>2011</v>
      </c>
      <c r="C32" s="874">
        <f>VLOOKUP(ref_year,DeflatorTable,2,FALSE)/VLOOKUP(B32,DeflatorTable,2,FALSE)</f>
        <v>1.0784554773635862</v>
      </c>
      <c r="D32" s="1260" t="str">
        <f>+'HyARC Physical Property Data'!$H$79</f>
        <v>kg</v>
      </c>
      <c r="E32" s="901" t="s">
        <v>1052</v>
      </c>
      <c r="F32" s="260">
        <f>'HyARC Physical Property Data'!E42</f>
        <v>22.7322030001394</v>
      </c>
      <c r="G32" s="260">
        <f>'HyARC Physical Property Data'!I42</f>
        <v>23.967615189707661</v>
      </c>
      <c r="H32" s="1069">
        <v>1.7344499599167666</v>
      </c>
      <c r="I32" s="1069">
        <v>1.7344499599167666</v>
      </c>
      <c r="J32" s="1069">
        <v>1.7344499599167666</v>
      </c>
      <c r="K32" s="1069">
        <v>1.7788973636542149</v>
      </c>
      <c r="L32" s="1069">
        <v>1.9298772179141501</v>
      </c>
      <c r="M32" s="1069">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9">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9">
        <f>('AEO Data'!$C$28*BB32)</f>
        <v>3.6036422854995251</v>
      </c>
      <c r="BR32" s="260">
        <f>(($BV$32-$BQ$32)/5+BQ32)</f>
        <v>3.6151952056451568</v>
      </c>
      <c r="BS32" s="260">
        <f>(($BV$32-$BQ$32)/5+BR32)</f>
        <v>3.6267481257907885</v>
      </c>
      <c r="BT32" s="260">
        <f>(($BV$32-$BQ$32)/5+BS32)</f>
        <v>3.6383010459364202</v>
      </c>
      <c r="BU32" s="260">
        <f>(($BV$32-$BQ$32)/5+BT32)</f>
        <v>3.6498539660820519</v>
      </c>
      <c r="BV32" s="963">
        <f>('AEO Data'!$D$28*BQ32)</f>
        <v>3.6614068862276832</v>
      </c>
      <c r="BW32" s="1398">
        <f>+BV32*BW$138/BV$138</f>
        <v>3.6737859390461725</v>
      </c>
      <c r="BX32" s="1398">
        <f t="shared" ref="BX32:CZ32" si="116">+BW32*BX$138/BW$138</f>
        <v>3.6862068448882255</v>
      </c>
      <c r="BY32" s="1398">
        <f t="shared" si="116"/>
        <v>3.6986697452570407</v>
      </c>
      <c r="BZ32" s="1398">
        <f t="shared" si="116"/>
        <v>3.7111747821342336</v>
      </c>
      <c r="CA32" s="1398">
        <f t="shared" si="116"/>
        <v>3.7237220979814545</v>
      </c>
      <c r="CB32" s="1398">
        <f t="shared" si="116"/>
        <v>3.7343836989714818</v>
      </c>
      <c r="CC32" s="1398">
        <f t="shared" si="116"/>
        <v>3.7450758257990131</v>
      </c>
      <c r="CD32" s="1398">
        <f t="shared" si="116"/>
        <v>3.7557985658643127</v>
      </c>
      <c r="CE32" s="1398">
        <f t="shared" si="116"/>
        <v>3.766552006817887</v>
      </c>
      <c r="CF32" s="1398">
        <f t="shared" si="116"/>
        <v>3.7773362365611991</v>
      </c>
      <c r="CG32" s="1398">
        <f t="shared" si="116"/>
        <v>3.7855700072018039</v>
      </c>
      <c r="CH32" s="1398">
        <f t="shared" si="116"/>
        <v>3.7938217256698499</v>
      </c>
      <c r="CI32" s="1398">
        <f t="shared" si="116"/>
        <v>3.8020914310876934</v>
      </c>
      <c r="CJ32" s="1398">
        <f t="shared" si="116"/>
        <v>3.8103791626629699</v>
      </c>
      <c r="CK32" s="1398">
        <f t="shared" si="116"/>
        <v>3.818684959688778</v>
      </c>
      <c r="CL32" s="1398">
        <f t="shared" si="116"/>
        <v>3.8243155975254672</v>
      </c>
      <c r="CM32" s="1398">
        <f t="shared" si="116"/>
        <v>3.8299545377182778</v>
      </c>
      <c r="CN32" s="1398">
        <f t="shared" si="116"/>
        <v>3.8356017925090047</v>
      </c>
      <c r="CO32" s="1398">
        <f t="shared" si="116"/>
        <v>3.841257374157494</v>
      </c>
      <c r="CP32" s="1398">
        <f t="shared" si="116"/>
        <v>3.846921294941668</v>
      </c>
      <c r="CQ32" s="1398">
        <f t="shared" si="116"/>
        <v>3.8488180534393406</v>
      </c>
      <c r="CR32" s="1398">
        <f t="shared" si="116"/>
        <v>3.8507157471505309</v>
      </c>
      <c r="CS32" s="1398">
        <f t="shared" si="116"/>
        <v>3.852614376536355</v>
      </c>
      <c r="CT32" s="1398">
        <f t="shared" si="116"/>
        <v>3.8545139420581549</v>
      </c>
      <c r="CU32" s="1398">
        <f t="shared" si="116"/>
        <v>3.8564144441775015</v>
      </c>
      <c r="CV32" s="1398">
        <f t="shared" si="116"/>
        <v>3.853683012772128</v>
      </c>
      <c r="CW32" s="1398">
        <f t="shared" si="116"/>
        <v>3.8509535159922028</v>
      </c>
      <c r="CX32" s="1398">
        <f t="shared" si="116"/>
        <v>3.8482259524674642</v>
      </c>
      <c r="CY32" s="1398">
        <f t="shared" si="116"/>
        <v>3.8455003208286209</v>
      </c>
      <c r="CZ32" s="1398">
        <f t="shared" si="116"/>
        <v>3.8427766197073518</v>
      </c>
    </row>
    <row r="33" spans="1:106" ht="13" x14ac:dyDescent="0.3">
      <c r="A33" s="964" t="str">
        <f>'HyARC Physical Property Data'!A76</f>
        <v>Commercial Electricity</v>
      </c>
      <c r="B33" s="260">
        <v>2011</v>
      </c>
      <c r="C33" s="874">
        <f t="shared" si="99"/>
        <v>1.0784554773635862</v>
      </c>
      <c r="D33" s="1260" t="str">
        <f>'HyARC Physical Property Data'!$H$76</f>
        <v>kWh</v>
      </c>
      <c r="E33" s="874" t="s">
        <v>1071</v>
      </c>
      <c r="F33" s="874"/>
      <c r="G33" s="874"/>
      <c r="H33" s="1069">
        <v>26.896922396257633</v>
      </c>
      <c r="I33" s="1069">
        <v>26.896922396257633</v>
      </c>
      <c r="J33" s="1069">
        <v>26.896922396257633</v>
      </c>
      <c r="K33" s="1069">
        <v>26.568469730033652</v>
      </c>
      <c r="L33" s="1069">
        <v>27.542479456318485</v>
      </c>
      <c r="M33" s="1069">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9">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9">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63">
        <f>'AEO Data'!$D$33*BQ33</f>
        <v>29.720041181041928</v>
      </c>
      <c r="BW33" s="1398">
        <f>+BV33*BW$139/BV$139</f>
        <v>29.706955334848292</v>
      </c>
      <c r="BX33" s="1398">
        <f t="shared" ref="BX33:CZ33" si="121">+BW33*BX$139/BW$139</f>
        <v>29.693875250402076</v>
      </c>
      <c r="BY33" s="1398">
        <f t="shared" si="121"/>
        <v>29.680800925166359</v>
      </c>
      <c r="BZ33" s="1398">
        <f t="shared" si="121"/>
        <v>29.667732356605345</v>
      </c>
      <c r="CA33" s="1398">
        <f t="shared" si="121"/>
        <v>29.654669542184347</v>
      </c>
      <c r="CB33" s="1398">
        <f t="shared" si="121"/>
        <v>29.630916614985676</v>
      </c>
      <c r="CC33" s="1398">
        <f t="shared" si="121"/>
        <v>29.607182713510749</v>
      </c>
      <c r="CD33" s="1398">
        <f t="shared" si="121"/>
        <v>29.583467822520262</v>
      </c>
      <c r="CE33" s="1398">
        <f t="shared" si="121"/>
        <v>29.559771926787111</v>
      </c>
      <c r="CF33" s="1398">
        <f t="shared" si="121"/>
        <v>29.536095011096396</v>
      </c>
      <c r="CG33" s="1398">
        <f t="shared" si="121"/>
        <v>29.503478732865982</v>
      </c>
      <c r="CH33" s="1398">
        <f t="shared" si="121"/>
        <v>29.470898472315131</v>
      </c>
      <c r="CI33" s="1398">
        <f t="shared" si="121"/>
        <v>29.438354189670047</v>
      </c>
      <c r="CJ33" s="1398">
        <f t="shared" si="121"/>
        <v>29.405845845200851</v>
      </c>
      <c r="CK33" s="1398">
        <f t="shared" si="121"/>
        <v>29.373373399221538</v>
      </c>
      <c r="CL33" s="1398">
        <f t="shared" si="121"/>
        <v>29.33797049714088</v>
      </c>
      <c r="CM33" s="1398">
        <f t="shared" si="121"/>
        <v>29.302610265183901</v>
      </c>
      <c r="CN33" s="1398">
        <f t="shared" si="121"/>
        <v>29.267292651921498</v>
      </c>
      <c r="CO33" s="1398">
        <f t="shared" si="121"/>
        <v>29.232017605986552</v>
      </c>
      <c r="CP33" s="1398">
        <f t="shared" si="121"/>
        <v>29.196785076073859</v>
      </c>
      <c r="CQ33" s="1398">
        <f t="shared" si="121"/>
        <v>29.155976606392862</v>
      </c>
      <c r="CR33" s="1398">
        <f t="shared" si="121"/>
        <v>29.115225174882106</v>
      </c>
      <c r="CS33" s="1398">
        <f t="shared" si="121"/>
        <v>29.074530701819103</v>
      </c>
      <c r="CT33" s="1398">
        <f t="shared" si="121"/>
        <v>29.033893107592792</v>
      </c>
      <c r="CU33" s="1398">
        <f t="shared" si="121"/>
        <v>28.993312312703377</v>
      </c>
      <c r="CV33" s="1398">
        <f t="shared" si="121"/>
        <v>28.95369823223389</v>
      </c>
      <c r="CW33" s="1398">
        <f t="shared" si="121"/>
        <v>28.914138277190098</v>
      </c>
      <c r="CX33" s="1398">
        <f t="shared" si="121"/>
        <v>28.874632373619477</v>
      </c>
      <c r="CY33" s="1398">
        <f t="shared" si="121"/>
        <v>28.835180447670528</v>
      </c>
      <c r="CZ33" s="1398">
        <f t="shared" si="121"/>
        <v>28.795782425592659</v>
      </c>
    </row>
    <row r="34" spans="1:106" ht="13" x14ac:dyDescent="0.3">
      <c r="A34" s="964" t="str">
        <f>'HyARC Physical Property Data'!A77</f>
        <v>Industrial Electricity</v>
      </c>
      <c r="B34" s="260">
        <v>2011</v>
      </c>
      <c r="C34" s="874">
        <f t="shared" si="99"/>
        <v>1.0784554773635862</v>
      </c>
      <c r="D34" s="1248" t="str">
        <f>'HyARC Physical Property Data'!$H$77</f>
        <v>kWh</v>
      </c>
      <c r="E34" s="874" t="s">
        <v>1071</v>
      </c>
      <c r="F34" s="874"/>
      <c r="G34" s="874"/>
      <c r="H34" s="1069">
        <v>17.44160584363896</v>
      </c>
      <c r="I34" s="1069">
        <v>17.44160584363896</v>
      </c>
      <c r="J34" s="1069">
        <v>17.44160584363896</v>
      </c>
      <c r="K34" s="1069">
        <v>17.651840860809763</v>
      </c>
      <c r="L34" s="1069">
        <v>19.274322003549859</v>
      </c>
      <c r="M34" s="1069">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9">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9">
        <f>'AEO Data'!$C$33*BB34</f>
        <v>20.908579364602893</v>
      </c>
      <c r="BR34" s="260">
        <f t="shared" si="120"/>
        <v>20.894500568115706</v>
      </c>
      <c r="BS34" s="260">
        <f t="shared" si="120"/>
        <v>20.880421771628519</v>
      </c>
      <c r="BT34" s="260">
        <f t="shared" si="120"/>
        <v>20.866342975141333</v>
      </c>
      <c r="BU34" s="260">
        <f t="shared" si="120"/>
        <v>20.852264178654146</v>
      </c>
      <c r="BV34" s="963">
        <f>'AEO Data'!$D$33*BQ34</f>
        <v>20.838185382166952</v>
      </c>
      <c r="BW34" s="1398">
        <f>+BV34*BW$140/BV$140</f>
        <v>20.844481841022439</v>
      </c>
      <c r="BX34" s="1398">
        <f t="shared" ref="BX34:CZ34" si="125">+BW34*BX$140/BW$140</f>
        <v>20.850780202413748</v>
      </c>
      <c r="BY34" s="1398">
        <f t="shared" si="125"/>
        <v>20.857080466915747</v>
      </c>
      <c r="BZ34" s="1398">
        <f t="shared" si="125"/>
        <v>20.863382635103481</v>
      </c>
      <c r="CA34" s="1398">
        <f t="shared" si="125"/>
        <v>20.869686707552159</v>
      </c>
      <c r="CB34" s="1398">
        <f t="shared" si="125"/>
        <v>20.867326506359717</v>
      </c>
      <c r="CC34" s="1398">
        <f t="shared" si="125"/>
        <v>20.864966572087891</v>
      </c>
      <c r="CD34" s="1398">
        <f t="shared" si="125"/>
        <v>20.862606904706492</v>
      </c>
      <c r="CE34" s="1398">
        <f t="shared" si="125"/>
        <v>20.860247504185345</v>
      </c>
      <c r="CF34" s="1398">
        <f t="shared" si="125"/>
        <v>20.857888370494265</v>
      </c>
      <c r="CG34" s="1398">
        <f t="shared" si="125"/>
        <v>20.848427047697971</v>
      </c>
      <c r="CH34" s="1398">
        <f t="shared" si="125"/>
        <v>20.838970016641447</v>
      </c>
      <c r="CI34" s="1398">
        <f t="shared" si="125"/>
        <v>20.829517275377921</v>
      </c>
      <c r="CJ34" s="1398">
        <f t="shared" si="125"/>
        <v>20.82006882196151</v>
      </c>
      <c r="CK34" s="1398">
        <f t="shared" si="125"/>
        <v>20.810624654447203</v>
      </c>
      <c r="CL34" s="1398">
        <f t="shared" si="125"/>
        <v>20.799038600799683</v>
      </c>
      <c r="CM34" s="1398">
        <f t="shared" si="125"/>
        <v>20.787458997541872</v>
      </c>
      <c r="CN34" s="1398">
        <f t="shared" si="125"/>
        <v>20.775885841082598</v>
      </c>
      <c r="CO34" s="1398">
        <f t="shared" si="125"/>
        <v>20.764319127832685</v>
      </c>
      <c r="CP34" s="1398">
        <f t="shared" si="125"/>
        <v>20.752758854204956</v>
      </c>
      <c r="CQ34" s="1398">
        <f t="shared" si="125"/>
        <v>20.736920704111466</v>
      </c>
      <c r="CR34" s="1398">
        <f t="shared" si="125"/>
        <v>20.721094641422845</v>
      </c>
      <c r="CS34" s="1398">
        <f t="shared" si="125"/>
        <v>20.705280656914191</v>
      </c>
      <c r="CT34" s="1398">
        <f t="shared" si="125"/>
        <v>20.689478741367644</v>
      </c>
      <c r="CU34" s="1398">
        <f t="shared" si="125"/>
        <v>20.673688885572378</v>
      </c>
      <c r="CV34" s="1398">
        <f t="shared" si="125"/>
        <v>20.658843427163145</v>
      </c>
      <c r="CW34" s="1398">
        <f t="shared" si="125"/>
        <v>20.644008629049544</v>
      </c>
      <c r="CX34" s="1398">
        <f t="shared" si="125"/>
        <v>20.629184483576587</v>
      </c>
      <c r="CY34" s="1398">
        <f t="shared" si="125"/>
        <v>20.614370983094769</v>
      </c>
      <c r="CZ34" s="1398">
        <f t="shared" si="125"/>
        <v>20.59956811996009</v>
      </c>
    </row>
    <row r="35" spans="1:106" ht="13.5" thickBot="1" x14ac:dyDescent="0.35">
      <c r="A35" s="967" t="str">
        <f>'HyARC Physical Property Data'!A78</f>
        <v>Residential Electricity</v>
      </c>
      <c r="B35" s="880">
        <v>2011</v>
      </c>
      <c r="C35" s="881">
        <f t="shared" si="99"/>
        <v>1.0784554773635862</v>
      </c>
      <c r="D35" s="1249" t="str">
        <f>'HyARC Physical Property Data'!$H$78</f>
        <v>kWh</v>
      </c>
      <c r="E35" s="881" t="s">
        <v>1071</v>
      </c>
      <c r="F35" s="880"/>
      <c r="G35" s="880"/>
      <c r="H35" s="1071">
        <v>29.579885763014694</v>
      </c>
      <c r="I35" s="1071">
        <v>29.579885763014694</v>
      </c>
      <c r="J35" s="1071">
        <v>29.579885763014694</v>
      </c>
      <c r="K35" s="1071">
        <v>29.556357578078675</v>
      </c>
      <c r="L35" s="1071">
        <v>30.116416605727963</v>
      </c>
      <c r="M35" s="1071">
        <v>29.134443020933652</v>
      </c>
      <c r="N35" s="880">
        <f t="shared" ref="N35:AR35" si="126">(N53/(mmBTU_to_GJ))*($C35)</f>
        <v>35.290357875264071</v>
      </c>
      <c r="O35" s="880">
        <f t="shared" si="126"/>
        <v>35.099254542442559</v>
      </c>
      <c r="P35" s="880">
        <f t="shared" si="126"/>
        <v>34.006324250330664</v>
      </c>
      <c r="Q35" s="880">
        <f t="shared" si="126"/>
        <v>33.273068571129983</v>
      </c>
      <c r="R35" s="880">
        <f t="shared" si="126"/>
        <v>33.741332917168577</v>
      </c>
      <c r="S35" s="880">
        <f t="shared" si="126"/>
        <v>33.797427935481679</v>
      </c>
      <c r="T35" s="880">
        <f t="shared" si="126"/>
        <v>34.324839686615753</v>
      </c>
      <c r="U35" s="880">
        <f t="shared" si="126"/>
        <v>34.578308413009267</v>
      </c>
      <c r="V35" s="880">
        <f t="shared" si="126"/>
        <v>34.586867567238613</v>
      </c>
      <c r="W35" s="880">
        <f t="shared" si="126"/>
        <v>34.390554936680012</v>
      </c>
      <c r="X35" s="880">
        <f t="shared" si="126"/>
        <v>34.362805408349665</v>
      </c>
      <c r="Y35" s="880">
        <f t="shared" si="126"/>
        <v>34.407138617447096</v>
      </c>
      <c r="Z35" s="880">
        <f t="shared" si="126"/>
        <v>34.440296778887124</v>
      </c>
      <c r="AA35" s="880">
        <f t="shared" si="126"/>
        <v>34.452805840191871</v>
      </c>
      <c r="AB35" s="880">
        <f t="shared" si="126"/>
        <v>34.592323223051601</v>
      </c>
      <c r="AC35" s="880">
        <f t="shared" si="126"/>
        <v>34.714384960668241</v>
      </c>
      <c r="AD35" s="880">
        <f t="shared" si="126"/>
        <v>34.884790126185806</v>
      </c>
      <c r="AE35" s="880">
        <f t="shared" si="126"/>
        <v>35.027523453056702</v>
      </c>
      <c r="AF35" s="880">
        <f t="shared" si="126"/>
        <v>35.17875868912688</v>
      </c>
      <c r="AG35" s="880">
        <f t="shared" si="126"/>
        <v>35.278238284610403</v>
      </c>
      <c r="AH35" s="880">
        <f t="shared" si="126"/>
        <v>35.329988814033648</v>
      </c>
      <c r="AI35" s="880">
        <f t="shared" si="126"/>
        <v>35.457572652587459</v>
      </c>
      <c r="AJ35" s="880">
        <f t="shared" si="126"/>
        <v>35.581268940259363</v>
      </c>
      <c r="AK35" s="880">
        <f t="shared" si="126"/>
        <v>35.700168912196872</v>
      </c>
      <c r="AL35" s="880">
        <f t="shared" si="126"/>
        <v>35.86250559517147</v>
      </c>
      <c r="AM35" s="880">
        <f t="shared" si="126"/>
        <v>36.208798160069257</v>
      </c>
      <c r="AN35" s="880">
        <f t="shared" si="126"/>
        <v>36.632705785658793</v>
      </c>
      <c r="AO35" s="880">
        <f t="shared" si="126"/>
        <v>36.980264896847054</v>
      </c>
      <c r="AP35" s="880">
        <f t="shared" si="126"/>
        <v>37.31435507024409</v>
      </c>
      <c r="AQ35" s="880">
        <f t="shared" si="126"/>
        <v>37.726607198816652</v>
      </c>
      <c r="AR35" s="880">
        <f t="shared" si="126"/>
        <v>37.92339618980413</v>
      </c>
      <c r="AS35" s="880">
        <f t="shared" ref="AS35:BA35" si="127">($BB35-$AR35)/10+AR35</f>
        <v>37.661673404423048</v>
      </c>
      <c r="AT35" s="880">
        <f t="shared" si="127"/>
        <v>37.399950619041967</v>
      </c>
      <c r="AU35" s="880">
        <f t="shared" si="127"/>
        <v>37.138227833660885</v>
      </c>
      <c r="AV35" s="880">
        <f t="shared" si="127"/>
        <v>36.876505048279803</v>
      </c>
      <c r="AW35" s="880">
        <f t="shared" si="127"/>
        <v>36.614782262898721</v>
      </c>
      <c r="AX35" s="880">
        <f t="shared" si="127"/>
        <v>36.35305947751764</v>
      </c>
      <c r="AY35" s="880">
        <f t="shared" si="127"/>
        <v>36.091336692136558</v>
      </c>
      <c r="AZ35" s="880">
        <f t="shared" si="127"/>
        <v>35.829613906755476</v>
      </c>
      <c r="BA35" s="880">
        <f t="shared" si="127"/>
        <v>35.567891121374394</v>
      </c>
      <c r="BB35" s="968">
        <f>'AEO Data'!$B$33*AM35</f>
        <v>35.306168335993306</v>
      </c>
      <c r="BC35" s="880">
        <f t="shared" ref="BC35:BP35" si="128">($BQ35-$BB35)/15+BB35</f>
        <v>35.326738550364603</v>
      </c>
      <c r="BD35" s="880">
        <f t="shared" si="128"/>
        <v>35.347308764735899</v>
      </c>
      <c r="BE35" s="880">
        <f t="shared" si="128"/>
        <v>35.367878979107196</v>
      </c>
      <c r="BF35" s="880">
        <f t="shared" si="128"/>
        <v>35.388449193478493</v>
      </c>
      <c r="BG35" s="880">
        <f t="shared" si="128"/>
        <v>35.40901940784979</v>
      </c>
      <c r="BH35" s="880">
        <f t="shared" si="128"/>
        <v>35.429589622221087</v>
      </c>
      <c r="BI35" s="880">
        <f t="shared" si="128"/>
        <v>35.450159836592384</v>
      </c>
      <c r="BJ35" s="880">
        <f t="shared" si="128"/>
        <v>35.470730050963681</v>
      </c>
      <c r="BK35" s="880">
        <f t="shared" si="128"/>
        <v>35.491300265334978</v>
      </c>
      <c r="BL35" s="880">
        <f t="shared" si="128"/>
        <v>35.511870479706275</v>
      </c>
      <c r="BM35" s="880">
        <f t="shared" si="128"/>
        <v>35.532440694077572</v>
      </c>
      <c r="BN35" s="880">
        <f t="shared" si="128"/>
        <v>35.553010908448869</v>
      </c>
      <c r="BO35" s="880">
        <f t="shared" si="128"/>
        <v>35.573581122820165</v>
      </c>
      <c r="BP35" s="880">
        <f t="shared" si="128"/>
        <v>35.594151337191462</v>
      </c>
      <c r="BQ35" s="968">
        <f>'AEO Data'!$C$33*BB35</f>
        <v>35.614721551562717</v>
      </c>
      <c r="BR35" s="880">
        <f t="shared" si="120"/>
        <v>35.590740371018178</v>
      </c>
      <c r="BS35" s="880">
        <f t="shared" si="120"/>
        <v>35.56675919047364</v>
      </c>
      <c r="BT35" s="880">
        <f t="shared" si="120"/>
        <v>35.542778009929101</v>
      </c>
      <c r="BU35" s="880">
        <f t="shared" si="120"/>
        <v>35.518796829384563</v>
      </c>
      <c r="BV35" s="969">
        <f>'AEO Data'!$D$33*BQ35</f>
        <v>35.494815648840024</v>
      </c>
      <c r="BW35" s="1398">
        <f>+BV35*BW$141/BV$141</f>
        <v>35.479187147674004</v>
      </c>
      <c r="BX35" s="1398">
        <f t="shared" ref="BX35:CZ35" si="129">+BW35*BX$141/BW$141</f>
        <v>35.463565527795978</v>
      </c>
      <c r="BY35" s="1398">
        <f t="shared" si="129"/>
        <v>35.447950786176087</v>
      </c>
      <c r="BZ35" s="1398">
        <f t="shared" si="129"/>
        <v>35.432342919785803</v>
      </c>
      <c r="CA35" s="1398">
        <f t="shared" si="129"/>
        <v>35.41674192559794</v>
      </c>
      <c r="CB35" s="1398">
        <f t="shared" si="129"/>
        <v>35.388373668404036</v>
      </c>
      <c r="CC35" s="1398">
        <f t="shared" si="129"/>
        <v>35.360028133741132</v>
      </c>
      <c r="CD35" s="1398">
        <f t="shared" si="129"/>
        <v>35.331705303408839</v>
      </c>
      <c r="CE35" s="1398">
        <f t="shared" si="129"/>
        <v>35.303405159221327</v>
      </c>
      <c r="CF35" s="1398">
        <f t="shared" si="129"/>
        <v>35.275127683007355</v>
      </c>
      <c r="CG35" s="1398">
        <f t="shared" si="129"/>
        <v>35.236173874838393</v>
      </c>
      <c r="CH35" s="1398">
        <f t="shared" si="129"/>
        <v>35.197263082790727</v>
      </c>
      <c r="CI35" s="1398">
        <f t="shared" si="129"/>
        <v>35.158395259362273</v>
      </c>
      <c r="CJ35" s="1398">
        <f t="shared" si="129"/>
        <v>35.119570357103413</v>
      </c>
      <c r="CK35" s="1398">
        <f t="shared" si="129"/>
        <v>35.080788328616926</v>
      </c>
      <c r="CL35" s="1398">
        <f t="shared" si="129"/>
        <v>35.03850643960029</v>
      </c>
      <c r="CM35" s="1398">
        <f t="shared" si="129"/>
        <v>34.996275511757105</v>
      </c>
      <c r="CN35" s="1398">
        <f t="shared" si="129"/>
        <v>34.954095483665299</v>
      </c>
      <c r="CO35" s="1398">
        <f t="shared" si="129"/>
        <v>34.911966293976825</v>
      </c>
      <c r="CP35" s="1398">
        <f t="shared" si="129"/>
        <v>34.869887881417597</v>
      </c>
      <c r="CQ35" s="1398">
        <f t="shared" si="129"/>
        <v>34.82115009201096</v>
      </c>
      <c r="CR35" s="1398">
        <f t="shared" si="129"/>
        <v>34.772480423618198</v>
      </c>
      <c r="CS35" s="1398">
        <f t="shared" si="129"/>
        <v>34.723878781026279</v>
      </c>
      <c r="CT35" s="1398">
        <f t="shared" si="129"/>
        <v>34.675345069155263</v>
      </c>
      <c r="CU35" s="1398">
        <f t="shared" si="129"/>
        <v>34.626879193058095</v>
      </c>
      <c r="CV35" s="1398">
        <f t="shared" si="129"/>
        <v>34.579567869537456</v>
      </c>
      <c r="CW35" s="1398">
        <f t="shared" si="129"/>
        <v>34.532321188323188</v>
      </c>
      <c r="CX35" s="1398">
        <f t="shared" si="129"/>
        <v>34.485139061093349</v>
      </c>
      <c r="CY35" s="1398">
        <f t="shared" si="129"/>
        <v>34.438021399646672</v>
      </c>
      <c r="CZ35" s="1398">
        <f t="shared" si="129"/>
        <v>34.39096811590241</v>
      </c>
    </row>
    <row r="36" spans="1:106" ht="13" thickTop="1" x14ac:dyDescent="0.25">
      <c r="A36" s="877"/>
      <c r="B36" s="260"/>
      <c r="C36" s="874"/>
      <c r="D36" s="1250"/>
      <c r="E36" s="874"/>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5">
      <c r="A37" s="877"/>
      <c r="B37" s="260"/>
      <c r="C37" s="874"/>
      <c r="D37" s="1251"/>
      <c r="E37" s="874"/>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 thickBot="1" x14ac:dyDescent="0.3">
      <c r="A38" s="977"/>
      <c r="B38" s="260"/>
      <c r="C38" s="874"/>
      <c r="D38" s="1251"/>
      <c r="E38" s="874"/>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53" customFormat="1" ht="13" x14ac:dyDescent="0.3">
      <c r="A39" s="1049" t="s">
        <v>1108</v>
      </c>
      <c r="B39" s="1050"/>
      <c r="C39" s="1051"/>
      <c r="D39" s="1252"/>
      <c r="E39" s="1051"/>
      <c r="F39" s="1050"/>
      <c r="G39" s="1050"/>
      <c r="H39" s="1050"/>
      <c r="I39" s="1050"/>
      <c r="J39" s="1050"/>
      <c r="K39" s="1050"/>
      <c r="L39" s="1050"/>
      <c r="M39" s="1050"/>
      <c r="N39" s="1050"/>
      <c r="O39" s="1050"/>
      <c r="P39" s="1050"/>
      <c r="Q39" s="1050"/>
      <c r="R39" s="1050"/>
      <c r="S39" s="1050"/>
      <c r="T39" s="1050"/>
      <c r="U39" s="1050"/>
      <c r="V39" s="1050"/>
      <c r="W39" s="1050"/>
      <c r="X39" s="1050"/>
      <c r="Y39" s="1050"/>
      <c r="Z39" s="1050"/>
      <c r="AA39" s="1050"/>
      <c r="AB39" s="1050"/>
      <c r="AC39" s="1050"/>
      <c r="AD39" s="1050"/>
      <c r="AE39" s="1050"/>
      <c r="AF39" s="1050"/>
      <c r="AG39" s="1050"/>
      <c r="AH39" s="1050"/>
      <c r="AI39" s="1050"/>
      <c r="AJ39" s="1050"/>
      <c r="AK39" s="1050"/>
      <c r="AL39" s="1050"/>
      <c r="AM39" s="1050"/>
      <c r="AN39" s="1050"/>
      <c r="AO39" s="1050"/>
      <c r="AP39" s="1050"/>
      <c r="AQ39" s="1050"/>
      <c r="AR39" s="1050"/>
      <c r="AS39" s="1050"/>
      <c r="AT39" s="1050"/>
      <c r="AU39" s="1050"/>
      <c r="AV39" s="1050"/>
      <c r="AW39" s="1050"/>
      <c r="AX39" s="1050"/>
      <c r="AY39" s="1050"/>
      <c r="AZ39" s="1050"/>
      <c r="BA39" s="1050"/>
      <c r="BB39" s="1050"/>
      <c r="BC39" s="1050"/>
      <c r="BD39" s="1050"/>
      <c r="BE39" s="1050"/>
      <c r="BF39" s="1050"/>
      <c r="BG39" s="1050"/>
      <c r="BH39" s="1050"/>
      <c r="BI39" s="1050"/>
      <c r="BJ39" s="1050"/>
      <c r="BK39" s="1050"/>
      <c r="BL39" s="1050"/>
      <c r="BM39" s="1050"/>
      <c r="BN39" s="1050"/>
      <c r="BO39" s="1050"/>
      <c r="BP39" s="1050"/>
      <c r="BQ39" s="1050"/>
      <c r="BR39" s="1050"/>
      <c r="BS39" s="1050"/>
      <c r="BT39" s="1050"/>
      <c r="BU39" s="1050"/>
      <c r="BV39" s="1052"/>
    </row>
    <row r="40" spans="1:106" s="1053" customFormat="1" ht="13" x14ac:dyDescent="0.3">
      <c r="A40" s="1054" t="s">
        <v>1109</v>
      </c>
      <c r="B40" s="1055"/>
      <c r="C40" s="1056"/>
      <c r="D40" s="1253"/>
      <c r="E40" s="1056"/>
      <c r="F40" s="1055"/>
      <c r="G40" s="1055"/>
      <c r="H40" s="1055"/>
      <c r="I40" s="1055"/>
      <c r="J40" s="1055"/>
      <c r="K40" s="1055"/>
      <c r="L40" s="1055"/>
      <c r="M40" s="1055"/>
      <c r="N40" s="1055"/>
      <c r="O40" s="1055"/>
      <c r="P40" s="1055"/>
      <c r="Q40" s="1055"/>
      <c r="R40" s="1055"/>
      <c r="S40" s="1055"/>
      <c r="T40" s="1055"/>
      <c r="U40" s="1055"/>
      <c r="V40" s="1055"/>
      <c r="W40" s="1055"/>
      <c r="X40" s="1055"/>
      <c r="Y40" s="1055"/>
      <c r="Z40" s="1055"/>
      <c r="AA40" s="1055"/>
      <c r="AB40" s="1055"/>
      <c r="AC40" s="1055"/>
      <c r="AD40" s="1055"/>
      <c r="AE40" s="1055"/>
      <c r="AF40" s="1055"/>
      <c r="AG40" s="1055"/>
      <c r="AH40" s="1055"/>
      <c r="AI40" s="1055"/>
      <c r="AJ40" s="1055"/>
      <c r="AK40" s="1055"/>
      <c r="AL40" s="1055"/>
      <c r="AM40" s="1055"/>
      <c r="AN40" s="1055"/>
      <c r="AO40" s="1055"/>
      <c r="AP40" s="1055"/>
      <c r="AQ40" s="1055"/>
      <c r="AR40" s="1055"/>
      <c r="AS40" s="1055"/>
      <c r="AT40" s="1055"/>
      <c r="AU40" s="1055"/>
      <c r="AV40" s="1055"/>
      <c r="AW40" s="1055"/>
      <c r="AX40" s="1055"/>
      <c r="AY40" s="1055"/>
      <c r="AZ40" s="1055"/>
      <c r="BA40" s="1055"/>
      <c r="BB40" s="1055"/>
      <c r="BC40" s="1055"/>
      <c r="BD40" s="1055"/>
      <c r="BE40" s="1055"/>
      <c r="BF40" s="1055"/>
      <c r="BG40" s="1055"/>
      <c r="BH40" s="1055"/>
      <c r="BI40" s="1055"/>
      <c r="BJ40" s="1055"/>
      <c r="BK40" s="1055"/>
      <c r="BL40" s="1055"/>
      <c r="BM40" s="1055"/>
      <c r="BN40" s="1055"/>
      <c r="BO40" s="1055"/>
      <c r="BP40" s="1055"/>
      <c r="BQ40" s="1055"/>
      <c r="BR40" s="1055"/>
      <c r="BS40" s="1055"/>
      <c r="BT40" s="1055"/>
      <c r="BU40" s="1055"/>
      <c r="BV40" s="1057"/>
    </row>
    <row r="41" spans="1:106" s="1053" customFormat="1" x14ac:dyDescent="0.25">
      <c r="A41" s="1058"/>
      <c r="B41" s="1055"/>
      <c r="C41" s="1056"/>
      <c r="D41" s="1253"/>
      <c r="E41" s="1056"/>
      <c r="F41" s="1055"/>
      <c r="G41" s="1055"/>
      <c r="H41" s="1055"/>
      <c r="I41" s="1055"/>
      <c r="J41" s="1055"/>
      <c r="K41" s="1055"/>
      <c r="L41" s="1055"/>
      <c r="M41" s="1055"/>
      <c r="N41" s="1055"/>
      <c r="O41" s="1055"/>
      <c r="P41" s="1055"/>
      <c r="Q41" s="1055"/>
      <c r="R41" s="1055"/>
      <c r="S41" s="1055"/>
      <c r="T41" s="1055"/>
      <c r="U41" s="1055"/>
      <c r="V41" s="1055"/>
      <c r="W41" s="1055"/>
      <c r="X41" s="1055"/>
      <c r="Y41" s="1055"/>
      <c r="Z41" s="1055"/>
      <c r="AA41" s="1055"/>
      <c r="AB41" s="1055"/>
      <c r="AC41" s="1055"/>
      <c r="AD41" s="1055"/>
      <c r="AE41" s="1055"/>
      <c r="AF41" s="1055"/>
      <c r="AG41" s="1055"/>
      <c r="AH41" s="1055"/>
      <c r="AI41" s="1055"/>
      <c r="AJ41" s="1055"/>
      <c r="AK41" s="1055"/>
      <c r="AL41" s="1055"/>
      <c r="AM41" s="1055"/>
      <c r="AN41" s="1055"/>
      <c r="AO41" s="1055"/>
      <c r="AP41" s="1055"/>
      <c r="AQ41" s="1055"/>
      <c r="AR41" s="1055"/>
      <c r="AS41" s="1055"/>
      <c r="AT41" s="1055"/>
      <c r="AU41" s="1055"/>
      <c r="AV41" s="1055"/>
      <c r="AW41" s="1055"/>
      <c r="AX41" s="1055"/>
      <c r="AY41" s="1055"/>
      <c r="AZ41" s="1055"/>
      <c r="BA41" s="1055"/>
      <c r="BB41" s="1055"/>
      <c r="BC41" s="1055"/>
      <c r="BD41" s="1055"/>
      <c r="BE41" s="1055"/>
      <c r="BF41" s="1055"/>
      <c r="BG41" s="1055"/>
      <c r="BH41" s="1055"/>
      <c r="BI41" s="1055"/>
      <c r="BJ41" s="1055"/>
      <c r="BK41" s="1055"/>
      <c r="BL41" s="1055"/>
      <c r="BM41" s="1055"/>
      <c r="BN41" s="1055"/>
      <c r="BO41" s="1055"/>
      <c r="BP41" s="1055"/>
      <c r="BQ41" s="1055"/>
      <c r="BR41" s="1055"/>
      <c r="BS41" s="1055"/>
      <c r="BT41" s="1055"/>
      <c r="BU41" s="1055"/>
      <c r="BV41" s="1057"/>
    </row>
    <row r="42" spans="1:106" s="1053" customFormat="1" x14ac:dyDescent="0.25">
      <c r="A42" s="1058" t="s">
        <v>681</v>
      </c>
      <c r="B42" s="1055"/>
      <c r="C42" s="1056"/>
      <c r="D42" s="1253"/>
      <c r="E42" s="1056"/>
      <c r="F42" s="1055"/>
      <c r="G42" s="1055"/>
      <c r="H42" s="1055"/>
      <c r="I42" s="1055"/>
      <c r="J42" s="1055"/>
      <c r="K42" s="1055"/>
      <c r="L42" s="1055"/>
      <c r="M42" s="1055"/>
      <c r="N42" s="1059">
        <v>11.359373</v>
      </c>
      <c r="O42" s="1059">
        <v>10.802343</v>
      </c>
      <c r="P42" s="1059">
        <v>10.464380999999999</v>
      </c>
      <c r="Q42" s="1059">
        <v>10.477905</v>
      </c>
      <c r="R42" s="1059">
        <v>10.253485</v>
      </c>
      <c r="S42" s="1059">
        <v>10.156079999999999</v>
      </c>
      <c r="T42" s="1059">
        <v>10.662777999999999</v>
      </c>
      <c r="U42" s="1059">
        <v>10.990506</v>
      </c>
      <c r="V42" s="1059">
        <v>11.397518</v>
      </c>
      <c r="W42" s="1059">
        <v>11.624905</v>
      </c>
      <c r="X42" s="1059">
        <v>11.776242999999999</v>
      </c>
      <c r="Y42" s="1059">
        <v>11.960003</v>
      </c>
      <c r="Z42" s="1059">
        <v>12.203179</v>
      </c>
      <c r="AA42" s="1059">
        <v>12.432268000000001</v>
      </c>
      <c r="AB42" s="1059">
        <v>12.584531</v>
      </c>
      <c r="AC42" s="1059">
        <v>12.674325</v>
      </c>
      <c r="AD42" s="1059">
        <v>12.841908</v>
      </c>
      <c r="AE42" s="1059">
        <v>12.933384999999999</v>
      </c>
      <c r="AF42" s="1059">
        <v>13.085578999999999</v>
      </c>
      <c r="AG42" s="1059">
        <v>13.234385</v>
      </c>
      <c r="AH42" s="1059">
        <v>13.368997999999999</v>
      </c>
      <c r="AI42" s="1059">
        <v>13.547089</v>
      </c>
      <c r="AJ42" s="1059">
        <v>13.721807</v>
      </c>
      <c r="AK42" s="1059">
        <v>13.935895</v>
      </c>
      <c r="AL42" s="1059">
        <v>14.248931000000001</v>
      </c>
      <c r="AM42" s="1059">
        <v>14.598827</v>
      </c>
      <c r="AN42" s="1059">
        <v>15.023702999999999</v>
      </c>
      <c r="AO42" s="1059">
        <v>15.415895000000001</v>
      </c>
      <c r="AP42" s="1059">
        <v>15.842275000000001</v>
      </c>
      <c r="AQ42" s="1059">
        <v>16.055761</v>
      </c>
      <c r="AR42" s="1059">
        <v>16.363073</v>
      </c>
      <c r="AS42" s="1055"/>
      <c r="AT42" s="1055"/>
      <c r="AU42" s="1055"/>
      <c r="AV42" s="1055"/>
      <c r="AW42" s="1055"/>
      <c r="AX42" s="1055"/>
      <c r="AY42" s="1055"/>
      <c r="AZ42" s="1055"/>
      <c r="BA42" s="1055"/>
      <c r="BB42" s="1055"/>
      <c r="BC42" s="1055"/>
      <c r="BD42" s="1055"/>
      <c r="BE42" s="1055"/>
      <c r="BF42" s="1055"/>
      <c r="BG42" s="1055"/>
      <c r="BH42" s="1055"/>
      <c r="BI42" s="1055"/>
      <c r="BJ42" s="1055"/>
      <c r="BK42" s="1055"/>
      <c r="BL42" s="1055"/>
      <c r="BM42" s="1055"/>
      <c r="BN42" s="1055"/>
      <c r="BO42" s="1055"/>
      <c r="BP42" s="1055"/>
      <c r="BQ42" s="1055"/>
      <c r="BR42" s="1055"/>
      <c r="BS42" s="1055"/>
      <c r="BT42" s="1055"/>
      <c r="BU42" s="1055"/>
      <c r="BV42" s="1057"/>
    </row>
    <row r="43" spans="1:106" s="1053" customFormat="1" x14ac:dyDescent="0.25">
      <c r="A43" s="1058" t="s">
        <v>1085</v>
      </c>
      <c r="B43" s="1055"/>
      <c r="C43" s="1056"/>
      <c r="D43" s="1253"/>
      <c r="E43" s="1056"/>
      <c r="F43" s="1055"/>
      <c r="G43" s="1055"/>
      <c r="H43" s="1055"/>
      <c r="I43" s="1055"/>
      <c r="J43" s="1055"/>
      <c r="K43" s="1055"/>
      <c r="L43" s="1055"/>
      <c r="M43" s="1055"/>
      <c r="N43" s="1059">
        <v>9.3969749999999994</v>
      </c>
      <c r="O43" s="1059">
        <v>8.8368610000000007</v>
      </c>
      <c r="P43" s="1059">
        <v>8.0727960000000003</v>
      </c>
      <c r="Q43" s="1059">
        <v>8.4627339999999993</v>
      </c>
      <c r="R43" s="1059">
        <v>8.2352620000000005</v>
      </c>
      <c r="S43" s="1059">
        <v>8.1043620000000001</v>
      </c>
      <c r="T43" s="1059">
        <v>8.5610389999999992</v>
      </c>
      <c r="U43" s="1059">
        <v>8.8247909999999994</v>
      </c>
      <c r="V43" s="1059">
        <v>9.1722800000000007</v>
      </c>
      <c r="W43" s="1059">
        <v>9.3508150000000008</v>
      </c>
      <c r="X43" s="1059">
        <v>9.4680210000000002</v>
      </c>
      <c r="Y43" s="1059">
        <v>9.6109419999999997</v>
      </c>
      <c r="Z43" s="1059">
        <v>9.8191819999999996</v>
      </c>
      <c r="AA43" s="1059">
        <v>10.011597999999999</v>
      </c>
      <c r="AB43" s="1059">
        <v>10.133018</v>
      </c>
      <c r="AC43" s="1059">
        <v>10.193654</v>
      </c>
      <c r="AD43" s="1059">
        <v>10.33554</v>
      </c>
      <c r="AE43" s="1059">
        <v>10.388019</v>
      </c>
      <c r="AF43" s="1059">
        <v>10.500005</v>
      </c>
      <c r="AG43" s="1059">
        <v>10.605323</v>
      </c>
      <c r="AH43" s="1059">
        <v>10.697221000000001</v>
      </c>
      <c r="AI43" s="1059">
        <v>10.832411</v>
      </c>
      <c r="AJ43" s="1059">
        <v>10.954602</v>
      </c>
      <c r="AK43" s="1059">
        <v>11.11848</v>
      </c>
      <c r="AL43" s="1059">
        <v>11.383407</v>
      </c>
      <c r="AM43" s="1059">
        <v>11.681657</v>
      </c>
      <c r="AN43" s="1059">
        <v>12.061093</v>
      </c>
      <c r="AO43" s="1059">
        <v>12.401303</v>
      </c>
      <c r="AP43" s="1059">
        <v>12.781521</v>
      </c>
      <c r="AQ43" s="1059">
        <v>12.948893999999999</v>
      </c>
      <c r="AR43" s="1059">
        <v>13.212922000000001</v>
      </c>
      <c r="AS43" s="1055"/>
      <c r="AT43" s="1055"/>
      <c r="AU43" s="1055"/>
      <c r="AV43" s="1055"/>
      <c r="AW43" s="1055"/>
      <c r="AX43" s="1055"/>
      <c r="AY43" s="1055"/>
      <c r="AZ43" s="1055"/>
      <c r="BA43" s="1055"/>
      <c r="BB43" s="1055"/>
      <c r="BC43" s="1055"/>
      <c r="BD43" s="1055"/>
      <c r="BE43" s="1055"/>
      <c r="BF43" s="1055"/>
      <c r="BG43" s="1055"/>
      <c r="BH43" s="1055"/>
      <c r="BI43" s="1055"/>
      <c r="BJ43" s="1055"/>
      <c r="BK43" s="1055"/>
      <c r="BL43" s="1055"/>
      <c r="BM43" s="1055"/>
      <c r="BN43" s="1055"/>
      <c r="BO43" s="1055"/>
      <c r="BP43" s="1055"/>
      <c r="BQ43" s="1055"/>
      <c r="BR43" s="1055"/>
      <c r="BS43" s="1055"/>
      <c r="BT43" s="1055"/>
      <c r="BU43" s="1055"/>
      <c r="BV43" s="1057"/>
    </row>
    <row r="44" spans="1:106" s="1053" customFormat="1" x14ac:dyDescent="0.25">
      <c r="A44" s="1058" t="s">
        <v>283</v>
      </c>
      <c r="B44" s="1055"/>
      <c r="C44" s="1056"/>
      <c r="D44" s="1253"/>
      <c r="E44" s="1056"/>
      <c r="F44" s="1055"/>
      <c r="G44" s="1055"/>
      <c r="H44" s="1055"/>
      <c r="I44" s="1055"/>
      <c r="J44" s="1055"/>
      <c r="K44" s="1055"/>
      <c r="L44" s="1055"/>
      <c r="M44" s="1055"/>
      <c r="N44" s="1059">
        <v>5.4839599999999997</v>
      </c>
      <c r="O44" s="1059">
        <v>4.8898130000000002</v>
      </c>
      <c r="P44" s="1059">
        <v>3.7596859999999999</v>
      </c>
      <c r="Q44" s="1059">
        <v>4.3339879999999997</v>
      </c>
      <c r="R44" s="1059">
        <v>4.3750520000000002</v>
      </c>
      <c r="S44" s="1059">
        <v>4.4225349999999999</v>
      </c>
      <c r="T44" s="1059">
        <v>4.8660360000000003</v>
      </c>
      <c r="U44" s="1059">
        <v>5.0679410000000003</v>
      </c>
      <c r="V44" s="1059">
        <v>5.3212570000000001</v>
      </c>
      <c r="W44" s="1059">
        <v>5.4497980000000004</v>
      </c>
      <c r="X44" s="1059">
        <v>5.5294119999999998</v>
      </c>
      <c r="Y44" s="1059">
        <v>5.6406840000000003</v>
      </c>
      <c r="Z44" s="1059">
        <v>5.8277749999999999</v>
      </c>
      <c r="AA44" s="1059">
        <v>6.0107049999999997</v>
      </c>
      <c r="AB44" s="1059">
        <v>6.1100089999999998</v>
      </c>
      <c r="AC44" s="1059">
        <v>6.1511990000000001</v>
      </c>
      <c r="AD44" s="1059">
        <v>6.2557600000000004</v>
      </c>
      <c r="AE44" s="1059">
        <v>6.2949159999999997</v>
      </c>
      <c r="AF44" s="1059">
        <v>6.396782</v>
      </c>
      <c r="AG44" s="1059">
        <v>6.4862520000000004</v>
      </c>
      <c r="AH44" s="1059">
        <v>6.561483</v>
      </c>
      <c r="AI44" s="1059">
        <v>6.6766310000000004</v>
      </c>
      <c r="AJ44" s="1059">
        <v>6.771134</v>
      </c>
      <c r="AK44" s="1059">
        <v>6.9159920000000001</v>
      </c>
      <c r="AL44" s="1059">
        <v>7.1687539999999998</v>
      </c>
      <c r="AM44" s="1059">
        <v>7.4454149999999997</v>
      </c>
      <c r="AN44" s="1059">
        <v>7.813205</v>
      </c>
      <c r="AO44" s="1059">
        <v>8.1536600000000004</v>
      </c>
      <c r="AP44" s="1059">
        <v>8.4989190000000008</v>
      </c>
      <c r="AQ44" s="1059">
        <v>8.6393810000000002</v>
      </c>
      <c r="AR44" s="1059">
        <v>8.8810929999999999</v>
      </c>
      <c r="AS44" s="1055"/>
      <c r="AT44" s="1055"/>
      <c r="AU44" s="1055"/>
      <c r="AV44" s="1055"/>
      <c r="AW44" s="1055"/>
      <c r="AX44" s="1055"/>
      <c r="AY44" s="1055"/>
      <c r="AZ44" s="1055"/>
      <c r="BA44" s="1055"/>
      <c r="BB44" s="1055"/>
      <c r="BC44" s="1055"/>
      <c r="BD44" s="1055"/>
      <c r="BE44" s="1055"/>
      <c r="BF44" s="1055"/>
      <c r="BG44" s="1055"/>
      <c r="BH44" s="1055"/>
      <c r="BI44" s="1055"/>
      <c r="BJ44" s="1055"/>
      <c r="BK44" s="1055"/>
      <c r="BL44" s="1055"/>
      <c r="BM44" s="1055"/>
      <c r="BN44" s="1055"/>
      <c r="BO44" s="1055"/>
      <c r="BP44" s="1055"/>
      <c r="BQ44" s="1055"/>
      <c r="BR44" s="1055"/>
      <c r="BS44" s="1055"/>
      <c r="BT44" s="1055"/>
      <c r="BU44" s="1055"/>
      <c r="BV44" s="1057"/>
    </row>
    <row r="45" spans="1:106" s="1053" customFormat="1" x14ac:dyDescent="0.25">
      <c r="A45" s="1060" t="str">
        <f>'HyARC Physical Property Data'!$A$74</f>
        <v>Electric Utility Natural Gas</v>
      </c>
      <c r="B45" s="1055"/>
      <c r="C45" s="1056"/>
      <c r="D45" s="1253"/>
      <c r="E45" s="1056"/>
      <c r="F45" s="1055"/>
      <c r="G45" s="1055"/>
      <c r="H45" s="1055"/>
      <c r="I45" s="1055"/>
      <c r="J45" s="1055"/>
      <c r="K45" s="1055"/>
      <c r="L45" s="1055"/>
      <c r="M45" s="1055"/>
      <c r="N45" s="1059">
        <v>5.258165</v>
      </c>
      <c r="O45" s="1059">
        <v>4.7747140000000003</v>
      </c>
      <c r="P45" s="1059">
        <v>3.3217560000000002</v>
      </c>
      <c r="Q45" s="1059">
        <v>3.7155300000000002</v>
      </c>
      <c r="R45" s="1059">
        <v>3.758219</v>
      </c>
      <c r="S45" s="1059">
        <v>3.8420709999999998</v>
      </c>
      <c r="T45" s="1059">
        <v>4.2826180000000003</v>
      </c>
      <c r="U45" s="1059">
        <v>4.4486730000000003</v>
      </c>
      <c r="V45" s="1059">
        <v>4.7026110000000001</v>
      </c>
      <c r="W45" s="1059">
        <v>4.8222319999999996</v>
      </c>
      <c r="X45" s="1059">
        <v>4.8967590000000003</v>
      </c>
      <c r="Y45" s="1059">
        <v>5.0074189999999996</v>
      </c>
      <c r="Z45" s="1059">
        <v>5.20235</v>
      </c>
      <c r="AA45" s="1059">
        <v>5.388776</v>
      </c>
      <c r="AB45" s="1059">
        <v>5.5179349999999996</v>
      </c>
      <c r="AC45" s="1059">
        <v>5.5779610000000002</v>
      </c>
      <c r="AD45" s="1059">
        <v>5.7088080000000003</v>
      </c>
      <c r="AE45" s="1059">
        <v>5.7607720000000002</v>
      </c>
      <c r="AF45" s="1059">
        <v>5.8668440000000004</v>
      </c>
      <c r="AG45" s="1059">
        <v>5.9650189999999998</v>
      </c>
      <c r="AH45" s="1059">
        <v>6.0528500000000003</v>
      </c>
      <c r="AI45" s="1059">
        <v>6.1836820000000001</v>
      </c>
      <c r="AJ45" s="1059">
        <v>6.2931780000000002</v>
      </c>
      <c r="AK45" s="1059">
        <v>6.4458729999999997</v>
      </c>
      <c r="AL45" s="1059">
        <v>6.6983480000000002</v>
      </c>
      <c r="AM45" s="1059">
        <v>6.9804459999999997</v>
      </c>
      <c r="AN45" s="1059">
        <v>7.345173</v>
      </c>
      <c r="AO45" s="1059">
        <v>7.6749489999999998</v>
      </c>
      <c r="AP45" s="1059">
        <v>8.0219799999999992</v>
      </c>
      <c r="AQ45" s="1059">
        <v>8.1549879999999995</v>
      </c>
      <c r="AR45" s="1059">
        <v>8.3777830000000009</v>
      </c>
      <c r="AS45" s="1055"/>
      <c r="AT45" s="1055"/>
      <c r="AU45" s="1055"/>
      <c r="AV45" s="1055"/>
      <c r="AW45" s="1055"/>
      <c r="AX45" s="1055"/>
      <c r="AY45" s="1055"/>
      <c r="AZ45" s="1055"/>
      <c r="BA45" s="1055"/>
      <c r="BB45" s="1055"/>
      <c r="BC45" s="1055"/>
      <c r="BD45" s="1055"/>
      <c r="BE45" s="1055"/>
      <c r="BF45" s="1055"/>
      <c r="BG45" s="1055"/>
      <c r="BH45" s="1055"/>
      <c r="BI45" s="1055"/>
      <c r="BJ45" s="1055"/>
      <c r="BK45" s="1055"/>
      <c r="BL45" s="1055"/>
      <c r="BM45" s="1055"/>
      <c r="BN45" s="1055"/>
      <c r="BO45" s="1055"/>
      <c r="BP45" s="1055"/>
      <c r="BQ45" s="1055"/>
      <c r="BR45" s="1055"/>
      <c r="BS45" s="1055"/>
      <c r="BT45" s="1055"/>
      <c r="BU45" s="1055"/>
      <c r="BV45" s="1057"/>
    </row>
    <row r="46" spans="1:106" s="1053" customFormat="1" x14ac:dyDescent="0.25">
      <c r="A46" s="1058" t="str">
        <f>'HyARC Physical Property Data'!$A$85</f>
        <v>Woody Biomass</v>
      </c>
      <c r="B46" s="1055"/>
      <c r="C46" s="1056"/>
      <c r="D46" s="1253"/>
      <c r="E46" s="1056"/>
      <c r="F46" s="1055"/>
      <c r="G46" s="1055"/>
      <c r="H46" s="1055"/>
      <c r="I46" s="1055"/>
      <c r="J46" s="1055"/>
      <c r="K46" s="1055"/>
      <c r="L46" s="1055"/>
      <c r="M46" s="1055"/>
      <c r="N46" s="1059"/>
      <c r="O46" s="1059"/>
      <c r="P46" s="1059"/>
      <c r="Q46" s="1059"/>
      <c r="R46" s="1059"/>
      <c r="S46" s="1059"/>
      <c r="T46" s="1059"/>
      <c r="U46" s="1059"/>
      <c r="V46" s="1059"/>
      <c r="W46" s="1059"/>
      <c r="X46" s="1059"/>
      <c r="Y46" s="1059"/>
      <c r="Z46" s="1059"/>
      <c r="AA46" s="1059"/>
      <c r="AB46" s="1059"/>
      <c r="AC46" s="1059"/>
      <c r="AD46" s="1059"/>
      <c r="AE46" s="1059"/>
      <c r="AF46" s="1059"/>
      <c r="AG46" s="1059"/>
      <c r="AH46" s="1059"/>
      <c r="AI46" s="1059"/>
      <c r="AJ46" s="1059"/>
      <c r="AK46" s="1059"/>
      <c r="AL46" s="1059"/>
      <c r="AM46" s="1059"/>
      <c r="AN46" s="1059"/>
      <c r="AO46" s="1059"/>
      <c r="AP46" s="1059"/>
      <c r="AQ46" s="1059"/>
      <c r="AR46" s="1059"/>
      <c r="AS46" s="1055"/>
      <c r="AT46" s="1055"/>
      <c r="AU46" s="1055"/>
      <c r="AV46" s="1055"/>
      <c r="AW46" s="1055"/>
      <c r="AX46" s="1055"/>
      <c r="AY46" s="1055"/>
      <c r="AZ46" s="1055"/>
      <c r="BA46" s="1055"/>
      <c r="BB46" s="1055"/>
      <c r="BC46" s="1055"/>
      <c r="BD46" s="1055"/>
      <c r="BE46" s="1055"/>
      <c r="BF46" s="1055"/>
      <c r="BG46" s="1055"/>
      <c r="BH46" s="1055"/>
      <c r="BI46" s="1055"/>
      <c r="BJ46" s="1055"/>
      <c r="BK46" s="1055"/>
      <c r="BL46" s="1055"/>
      <c r="BM46" s="1055"/>
      <c r="BN46" s="1055"/>
      <c r="BO46" s="1055"/>
      <c r="BP46" s="1055"/>
      <c r="BQ46" s="1055"/>
      <c r="BR46" s="1055"/>
      <c r="BS46" s="1055"/>
      <c r="BT46" s="1055"/>
      <c r="BU46" s="1055"/>
      <c r="BV46" s="1057"/>
    </row>
    <row r="47" spans="1:106" s="1053" customFormat="1" x14ac:dyDescent="0.25">
      <c r="A47" s="1058" t="s">
        <v>1110</v>
      </c>
      <c r="B47" s="1055"/>
      <c r="C47" s="1056"/>
      <c r="D47" s="1253"/>
      <c r="E47" s="1056"/>
      <c r="F47" s="1055"/>
      <c r="G47" s="1055"/>
      <c r="H47" s="1055"/>
      <c r="I47" s="1055"/>
      <c r="J47" s="1055"/>
      <c r="K47" s="1055"/>
      <c r="L47" s="1055"/>
      <c r="M47" s="1055"/>
      <c r="N47" s="1059">
        <v>13.6</v>
      </c>
      <c r="O47" s="1059">
        <v>13.6</v>
      </c>
      <c r="P47" s="1059">
        <v>13.6</v>
      </c>
      <c r="Q47" s="1059">
        <v>13.6</v>
      </c>
      <c r="R47" s="1059">
        <v>13.6</v>
      </c>
      <c r="S47" s="1059">
        <v>13.6</v>
      </c>
      <c r="T47" s="1059">
        <v>13.6</v>
      </c>
      <c r="U47" s="1059">
        <v>14.11</v>
      </c>
      <c r="V47" s="1059">
        <v>14.11</v>
      </c>
      <c r="W47" s="1059">
        <v>14.11</v>
      </c>
      <c r="X47" s="1059">
        <v>14.11</v>
      </c>
      <c r="Y47" s="1059">
        <v>14.11</v>
      </c>
      <c r="Z47" s="1059">
        <v>14.11</v>
      </c>
      <c r="AA47" s="1059">
        <v>14.11</v>
      </c>
      <c r="AB47" s="1059">
        <v>14.11</v>
      </c>
      <c r="AC47" s="1059">
        <v>14.11</v>
      </c>
      <c r="AD47" s="1059">
        <v>14.11</v>
      </c>
      <c r="AE47" s="1059">
        <v>14.11</v>
      </c>
      <c r="AF47" s="1059">
        <v>14.11</v>
      </c>
      <c r="AG47" s="1059">
        <v>14.11</v>
      </c>
      <c r="AH47" s="1059">
        <v>14.11</v>
      </c>
      <c r="AI47" s="1059">
        <v>14.11</v>
      </c>
      <c r="AJ47" s="1059">
        <v>14.11</v>
      </c>
      <c r="AK47" s="1059">
        <v>14.11</v>
      </c>
      <c r="AL47" s="1059">
        <v>14.11</v>
      </c>
      <c r="AM47" s="1059">
        <v>14.11</v>
      </c>
      <c r="AN47" s="1059">
        <v>14.11</v>
      </c>
      <c r="AO47" s="1059">
        <v>14.11</v>
      </c>
      <c r="AP47" s="1059">
        <v>14.11</v>
      </c>
      <c r="AQ47" s="1059">
        <v>14.11</v>
      </c>
      <c r="AR47" s="1059">
        <v>14.11</v>
      </c>
      <c r="AS47" s="1059">
        <v>14.11</v>
      </c>
      <c r="AT47" s="1059">
        <v>14.11</v>
      </c>
      <c r="AU47" s="1059">
        <v>14.11</v>
      </c>
      <c r="AV47" s="1059">
        <v>14.11</v>
      </c>
      <c r="AW47" s="1059">
        <v>14.11</v>
      </c>
      <c r="AX47" s="1059">
        <v>14.11</v>
      </c>
      <c r="AY47" s="1059">
        <v>14.11</v>
      </c>
      <c r="AZ47" s="1059">
        <v>14.11</v>
      </c>
      <c r="BA47" s="1059">
        <v>14.11</v>
      </c>
      <c r="BB47" s="1059">
        <v>14.11</v>
      </c>
      <c r="BC47" s="1059">
        <v>14.11</v>
      </c>
      <c r="BD47" s="1059">
        <v>14.11</v>
      </c>
      <c r="BE47" s="1059">
        <v>14.11</v>
      </c>
      <c r="BF47" s="1059">
        <v>14.11</v>
      </c>
      <c r="BG47" s="1059">
        <v>14.11</v>
      </c>
      <c r="BH47" s="1059">
        <v>14.11</v>
      </c>
      <c r="BI47" s="1059">
        <v>14.11</v>
      </c>
      <c r="BJ47" s="1059">
        <v>14.11</v>
      </c>
      <c r="BK47" s="1059">
        <v>14.11</v>
      </c>
      <c r="BL47" s="1059">
        <v>14.11</v>
      </c>
      <c r="BM47" s="1059">
        <v>14.11</v>
      </c>
      <c r="BN47" s="1059">
        <v>14.11</v>
      </c>
      <c r="BO47" s="1059">
        <v>14.11</v>
      </c>
      <c r="BP47" s="1059">
        <v>14.11</v>
      </c>
      <c r="BQ47" s="1059">
        <v>14.11</v>
      </c>
      <c r="BR47" s="1059">
        <v>14.11</v>
      </c>
      <c r="BS47" s="1059">
        <v>14.11</v>
      </c>
      <c r="BT47" s="1059">
        <v>14.11</v>
      </c>
      <c r="BU47" s="1059">
        <v>14.11</v>
      </c>
      <c r="BV47" s="1061">
        <v>14.11</v>
      </c>
    </row>
    <row r="48" spans="1:106" s="1053" customFormat="1" x14ac:dyDescent="0.25">
      <c r="A48" s="1058" t="s">
        <v>311</v>
      </c>
      <c r="B48" s="1055"/>
      <c r="C48" s="1056"/>
      <c r="D48" s="1253"/>
      <c r="E48" s="1056"/>
      <c r="F48" s="1055"/>
      <c r="G48" s="1055"/>
      <c r="H48" s="1055"/>
      <c r="I48" s="1055"/>
      <c r="J48" s="1055"/>
      <c r="K48" s="1055"/>
      <c r="L48" s="1055"/>
      <c r="M48" s="1055"/>
      <c r="N48" s="1059">
        <v>23.6</v>
      </c>
      <c r="O48" s="1059">
        <v>23.6</v>
      </c>
      <c r="P48" s="1059">
        <v>23.6</v>
      </c>
      <c r="Q48" s="1059">
        <v>23.6</v>
      </c>
      <c r="R48" s="1059">
        <v>23.6</v>
      </c>
      <c r="S48" s="1059">
        <v>23.6</v>
      </c>
      <c r="T48" s="1059">
        <v>23.6</v>
      </c>
      <c r="U48" s="1059">
        <v>23.6</v>
      </c>
      <c r="V48" s="1059">
        <v>23.6</v>
      </c>
      <c r="W48" s="1059">
        <v>23.6</v>
      </c>
      <c r="X48" s="1059">
        <v>23.6</v>
      </c>
      <c r="Y48" s="1059">
        <v>23.6</v>
      </c>
      <c r="Z48" s="1059">
        <v>23.6</v>
      </c>
      <c r="AA48" s="1059">
        <v>23.6</v>
      </c>
      <c r="AB48" s="1059">
        <v>23.6</v>
      </c>
      <c r="AC48" s="1059">
        <v>23.6</v>
      </c>
      <c r="AD48" s="1059">
        <v>23.6</v>
      </c>
      <c r="AE48" s="1059">
        <v>23.6</v>
      </c>
      <c r="AF48" s="1059">
        <v>23.6</v>
      </c>
      <c r="AG48" s="1059">
        <v>23.6</v>
      </c>
      <c r="AH48" s="1059">
        <v>23.6</v>
      </c>
      <c r="AI48" s="1059">
        <v>23.6</v>
      </c>
      <c r="AJ48" s="1059">
        <v>23.6</v>
      </c>
      <c r="AK48" s="1059">
        <v>23.6</v>
      </c>
      <c r="AL48" s="1059">
        <v>23.6</v>
      </c>
      <c r="AM48" s="1059">
        <v>23.6</v>
      </c>
      <c r="AN48" s="1059">
        <v>23.6</v>
      </c>
      <c r="AO48" s="1059">
        <v>23.6</v>
      </c>
      <c r="AP48" s="1059">
        <v>23.6</v>
      </c>
      <c r="AQ48" s="1059">
        <v>23.6</v>
      </c>
      <c r="AR48" s="1059">
        <v>23.6</v>
      </c>
      <c r="AS48" s="1059">
        <v>23.6</v>
      </c>
      <c r="AT48" s="1059">
        <v>23.6</v>
      </c>
      <c r="AU48" s="1059">
        <v>23.6</v>
      </c>
      <c r="AV48" s="1059">
        <v>23.6</v>
      </c>
      <c r="AW48" s="1059">
        <v>23.6</v>
      </c>
      <c r="AX48" s="1059">
        <v>23.6</v>
      </c>
      <c r="AY48" s="1059">
        <v>23.6</v>
      </c>
      <c r="AZ48" s="1059">
        <v>23.6</v>
      </c>
      <c r="BA48" s="1059">
        <v>23.6</v>
      </c>
      <c r="BB48" s="1059">
        <v>23.6</v>
      </c>
      <c r="BC48" s="1059">
        <v>23.6</v>
      </c>
      <c r="BD48" s="1059">
        <v>23.6</v>
      </c>
      <c r="BE48" s="1059">
        <v>23.6</v>
      </c>
      <c r="BF48" s="1059">
        <v>23.6</v>
      </c>
      <c r="BG48" s="1059">
        <v>23.6</v>
      </c>
      <c r="BH48" s="1059">
        <v>23.6</v>
      </c>
      <c r="BI48" s="1059">
        <v>23.6</v>
      </c>
      <c r="BJ48" s="1059">
        <v>23.6</v>
      </c>
      <c r="BK48" s="1059">
        <v>23.6</v>
      </c>
      <c r="BL48" s="1059">
        <v>23.6</v>
      </c>
      <c r="BM48" s="1059">
        <v>23.6</v>
      </c>
      <c r="BN48" s="1059">
        <v>23.6</v>
      </c>
      <c r="BO48" s="1059">
        <v>23.6</v>
      </c>
      <c r="BP48" s="1059">
        <v>23.6</v>
      </c>
      <c r="BQ48" s="1059">
        <v>23.6</v>
      </c>
      <c r="BR48" s="1059">
        <v>23.6</v>
      </c>
      <c r="BS48" s="1059">
        <v>23.6</v>
      </c>
      <c r="BT48" s="1059">
        <v>23.6</v>
      </c>
      <c r="BU48" s="1059">
        <v>23.6</v>
      </c>
      <c r="BV48" s="1061">
        <v>23.6</v>
      </c>
    </row>
    <row r="49" spans="1:104" s="1053" customFormat="1" x14ac:dyDescent="0.25">
      <c r="A49" s="1060" t="s">
        <v>1111</v>
      </c>
      <c r="B49" s="1055"/>
      <c r="C49" s="1056"/>
      <c r="D49" s="1253"/>
      <c r="E49" s="1056"/>
      <c r="F49" s="1055"/>
      <c r="G49" s="1055"/>
      <c r="H49" s="1055"/>
      <c r="I49" s="1055"/>
      <c r="J49" s="1055"/>
      <c r="K49" s="1055"/>
      <c r="L49" s="1055"/>
      <c r="M49" s="1055"/>
      <c r="N49" s="1059">
        <v>25.561684</v>
      </c>
      <c r="O49" s="1059">
        <v>25.303816000000001</v>
      </c>
      <c r="P49" s="1059">
        <v>33.642014000000003</v>
      </c>
      <c r="Q49" s="1059">
        <v>31.120284999999999</v>
      </c>
      <c r="R49" s="1059">
        <v>24.805427999999999</v>
      </c>
      <c r="S49" s="1059">
        <v>24.941547</v>
      </c>
      <c r="T49" s="1059">
        <v>24.510408000000002</v>
      </c>
      <c r="U49" s="1059">
        <v>24.773121</v>
      </c>
      <c r="V49" s="1059">
        <v>25.840997999999999</v>
      </c>
      <c r="W49" s="1059">
        <v>26.808551999999999</v>
      </c>
      <c r="X49" s="1059">
        <v>29.644617</v>
      </c>
      <c r="Y49" s="1059">
        <v>29.383793000000001</v>
      </c>
      <c r="Z49" s="1059">
        <v>28.224442</v>
      </c>
      <c r="AA49" s="1059">
        <v>28.253482999999999</v>
      </c>
      <c r="AB49" s="1059">
        <v>27.145426</v>
      </c>
      <c r="AC49" s="1059">
        <v>27.272445999999999</v>
      </c>
      <c r="AD49" s="1059">
        <v>27.519344</v>
      </c>
      <c r="AE49" s="1059">
        <v>26.363682000000001</v>
      </c>
      <c r="AF49" s="1059">
        <v>26.241467</v>
      </c>
      <c r="AG49" s="1059">
        <v>26.599018000000001</v>
      </c>
      <c r="AH49" s="1059">
        <v>26.941008</v>
      </c>
      <c r="AI49" s="1059">
        <v>27.294556</v>
      </c>
      <c r="AJ49" s="1059">
        <v>27.667862</v>
      </c>
      <c r="AK49" s="1059">
        <v>28.194492</v>
      </c>
      <c r="AL49" s="1059">
        <v>28.632065000000001</v>
      </c>
      <c r="AM49" s="1059">
        <v>29.186733</v>
      </c>
      <c r="AN49" s="1059">
        <v>29.790071000000001</v>
      </c>
      <c r="AO49" s="1059">
        <v>30.397635000000001</v>
      </c>
      <c r="AP49" s="1059">
        <v>30.990224999999999</v>
      </c>
      <c r="AQ49" s="1059">
        <v>31.671036000000001</v>
      </c>
      <c r="AR49" s="1059">
        <v>30.576360999999999</v>
      </c>
      <c r="AS49" s="1055"/>
      <c r="AT49" s="1055"/>
      <c r="AU49" s="1055"/>
      <c r="AV49" s="1055"/>
      <c r="AW49" s="1055"/>
      <c r="AX49" s="1055"/>
      <c r="AY49" s="1055"/>
      <c r="AZ49" s="1055"/>
      <c r="BA49" s="1055"/>
      <c r="BB49" s="1055"/>
      <c r="BC49" s="1055"/>
      <c r="BD49" s="1055"/>
      <c r="BE49" s="1055"/>
      <c r="BF49" s="1055"/>
      <c r="BG49" s="1055"/>
      <c r="BH49" s="1055"/>
      <c r="BI49" s="1055"/>
      <c r="BJ49" s="1055"/>
      <c r="BK49" s="1055"/>
      <c r="BL49" s="1055"/>
      <c r="BM49" s="1055"/>
      <c r="BN49" s="1055"/>
      <c r="BO49" s="1055"/>
      <c r="BP49" s="1055"/>
      <c r="BQ49" s="1055"/>
      <c r="BR49" s="1055"/>
      <c r="BS49" s="1055"/>
      <c r="BT49" s="1055"/>
      <c r="BU49" s="1055"/>
      <c r="BV49" s="1057"/>
    </row>
    <row r="50" spans="1:104" s="1053" customFormat="1" x14ac:dyDescent="0.25">
      <c r="A50" s="1058" t="s">
        <v>1087</v>
      </c>
      <c r="B50" s="1055"/>
      <c r="C50" s="1056"/>
      <c r="D50" s="1253"/>
      <c r="E50" s="1056"/>
      <c r="F50" s="1055"/>
      <c r="G50" s="1055"/>
      <c r="H50" s="1055"/>
      <c r="I50" s="1055"/>
      <c r="J50" s="1055"/>
      <c r="K50" s="1055"/>
      <c r="L50" s="1055"/>
      <c r="M50" s="1055"/>
      <c r="N50" s="1059">
        <v>2.2979889999999998</v>
      </c>
      <c r="O50" s="1059">
        <v>2.38</v>
      </c>
      <c r="P50" s="1059">
        <v>2.4052739999999999</v>
      </c>
      <c r="Q50" s="1059">
        <v>2.3369110000000002</v>
      </c>
      <c r="R50" s="1059">
        <v>2.3950149999999999</v>
      </c>
      <c r="S50" s="1059">
        <v>2.3961070000000002</v>
      </c>
      <c r="T50" s="1059">
        <v>2.4583050000000002</v>
      </c>
      <c r="U50" s="1059">
        <v>2.472283</v>
      </c>
      <c r="V50" s="1059">
        <v>2.4802620000000002</v>
      </c>
      <c r="W50" s="1059">
        <v>2.4838239999999998</v>
      </c>
      <c r="X50" s="1059">
        <v>2.516057</v>
      </c>
      <c r="Y50" s="1059">
        <v>2.5464560000000001</v>
      </c>
      <c r="Z50" s="1059">
        <v>2.591459</v>
      </c>
      <c r="AA50" s="1059">
        <v>2.6280779999999999</v>
      </c>
      <c r="AB50" s="1059">
        <v>2.6593969999999998</v>
      </c>
      <c r="AC50" s="1059">
        <v>2.691643</v>
      </c>
      <c r="AD50" s="1059">
        <v>2.7285810000000001</v>
      </c>
      <c r="AE50" s="1059">
        <v>2.7618779999999998</v>
      </c>
      <c r="AF50" s="1059">
        <v>2.7919909999999999</v>
      </c>
      <c r="AG50" s="1059">
        <v>2.8282630000000002</v>
      </c>
      <c r="AH50" s="1059">
        <v>2.8670900000000001</v>
      </c>
      <c r="AI50" s="1059">
        <v>2.8969999999999998</v>
      </c>
      <c r="AJ50" s="1059">
        <v>2.9238430000000002</v>
      </c>
      <c r="AK50" s="1059">
        <v>2.954224</v>
      </c>
      <c r="AL50" s="1059">
        <v>2.98759</v>
      </c>
      <c r="AM50" s="1059">
        <v>3.030205</v>
      </c>
      <c r="AN50" s="1059">
        <v>3.0670109999999999</v>
      </c>
      <c r="AO50" s="1059">
        <v>3.1012659999999999</v>
      </c>
      <c r="AP50" s="1059">
        <v>3.134995</v>
      </c>
      <c r="AQ50" s="1059">
        <v>3.169994</v>
      </c>
      <c r="AR50" s="1059">
        <v>3.2015440000000002</v>
      </c>
      <c r="AS50" s="1055"/>
      <c r="AT50" s="1055"/>
      <c r="AU50" s="1055"/>
      <c r="AV50" s="1055"/>
      <c r="AW50" s="1055"/>
      <c r="AX50" s="1055"/>
      <c r="AY50" s="1055"/>
      <c r="AZ50" s="1055"/>
      <c r="BA50" s="1055"/>
      <c r="BB50" s="1055"/>
      <c r="BC50" s="1055"/>
      <c r="BD50" s="1055"/>
      <c r="BE50" s="1055"/>
      <c r="BF50" s="1055"/>
      <c r="BG50" s="1055"/>
      <c r="BH50" s="1055"/>
      <c r="BI50" s="1055"/>
      <c r="BJ50" s="1055"/>
      <c r="BK50" s="1055"/>
      <c r="BL50" s="1055"/>
      <c r="BM50" s="1055"/>
      <c r="BN50" s="1055"/>
      <c r="BO50" s="1055"/>
      <c r="BP50" s="1055"/>
      <c r="BQ50" s="1055"/>
      <c r="BR50" s="1055"/>
      <c r="BS50" s="1055"/>
      <c r="BT50" s="1055"/>
      <c r="BU50" s="1055"/>
      <c r="BV50" s="1057"/>
    </row>
    <row r="51" spans="1:104" s="1053" customFormat="1" x14ac:dyDescent="0.25">
      <c r="A51" s="1058" t="s">
        <v>683</v>
      </c>
      <c r="B51" s="1055"/>
      <c r="C51" s="1056"/>
      <c r="D51" s="1253"/>
      <c r="E51" s="1056"/>
      <c r="F51" s="1055"/>
      <c r="G51" s="1055"/>
      <c r="H51" s="1055"/>
      <c r="I51" s="1055"/>
      <c r="J51" s="1055"/>
      <c r="K51" s="1055"/>
      <c r="L51" s="1055"/>
      <c r="M51" s="1055"/>
      <c r="N51" s="1059">
        <v>30.492578999999999</v>
      </c>
      <c r="O51" s="1059">
        <v>29.980651999999999</v>
      </c>
      <c r="P51" s="1059">
        <v>28.463469</v>
      </c>
      <c r="Q51" s="1059">
        <v>27.770492999999998</v>
      </c>
      <c r="R51" s="1059">
        <v>27.844252000000001</v>
      </c>
      <c r="S51" s="1059">
        <v>27.733993999999999</v>
      </c>
      <c r="T51" s="1059">
        <v>28.230274000000001</v>
      </c>
      <c r="U51" s="1059">
        <v>28.517765000000001</v>
      </c>
      <c r="V51" s="1059">
        <v>28.644997</v>
      </c>
      <c r="W51" s="1059">
        <v>28.576813000000001</v>
      </c>
      <c r="X51" s="1059">
        <v>28.566559000000002</v>
      </c>
      <c r="Y51" s="1059">
        <v>28.675744999999999</v>
      </c>
      <c r="Z51" s="1059">
        <v>28.66461</v>
      </c>
      <c r="AA51" s="1059">
        <v>28.628443000000001</v>
      </c>
      <c r="AB51" s="1059">
        <v>28.632759</v>
      </c>
      <c r="AC51" s="1059">
        <v>28.485842000000002</v>
      </c>
      <c r="AD51" s="1059">
        <v>28.378672000000002</v>
      </c>
      <c r="AE51" s="1059">
        <v>28.369689999999999</v>
      </c>
      <c r="AF51" s="1059">
        <v>28.482963999999999</v>
      </c>
      <c r="AG51" s="1059">
        <v>28.577332999999999</v>
      </c>
      <c r="AH51" s="1059">
        <v>28.652301999999999</v>
      </c>
      <c r="AI51" s="1059">
        <v>28.781072999999999</v>
      </c>
      <c r="AJ51" s="1059">
        <v>28.912566999999999</v>
      </c>
      <c r="AK51" s="1059">
        <v>29.081726</v>
      </c>
      <c r="AL51" s="1059">
        <v>29.271111999999999</v>
      </c>
      <c r="AM51" s="1059">
        <v>29.658476</v>
      </c>
      <c r="AN51" s="1059">
        <v>30.101704000000002</v>
      </c>
      <c r="AO51" s="1059">
        <v>30.503069</v>
      </c>
      <c r="AP51" s="1059">
        <v>30.944068999999999</v>
      </c>
      <c r="AQ51" s="1059">
        <v>31.476562000000001</v>
      </c>
      <c r="AR51" s="1059">
        <v>31.747146999999998</v>
      </c>
      <c r="AS51" s="1055"/>
      <c r="AT51" s="1055"/>
      <c r="AU51" s="1055"/>
      <c r="AV51" s="1055"/>
      <c r="AW51" s="1055"/>
      <c r="AX51" s="1055"/>
      <c r="AY51" s="1055"/>
      <c r="AZ51" s="1055"/>
      <c r="BA51" s="1055"/>
      <c r="BB51" s="1055"/>
      <c r="BC51" s="1055"/>
      <c r="BD51" s="1055"/>
      <c r="BE51" s="1055"/>
      <c r="BF51" s="1055"/>
      <c r="BG51" s="1055"/>
      <c r="BH51" s="1055"/>
      <c r="BI51" s="1055"/>
      <c r="BJ51" s="1055"/>
      <c r="BK51" s="1055"/>
      <c r="BL51" s="1055"/>
      <c r="BM51" s="1055"/>
      <c r="BN51" s="1055"/>
      <c r="BO51" s="1055"/>
      <c r="BP51" s="1055"/>
      <c r="BQ51" s="1055"/>
      <c r="BR51" s="1055"/>
      <c r="BS51" s="1055"/>
      <c r="BT51" s="1055"/>
      <c r="BU51" s="1055"/>
      <c r="BV51" s="1057"/>
    </row>
    <row r="52" spans="1:104" s="1053" customFormat="1" x14ac:dyDescent="0.25">
      <c r="A52" s="1058" t="s">
        <v>698</v>
      </c>
      <c r="B52" s="1055"/>
      <c r="C52" s="1056"/>
      <c r="D52" s="1253"/>
      <c r="E52" s="1056"/>
      <c r="F52" s="1055"/>
      <c r="G52" s="1055"/>
      <c r="H52" s="1055"/>
      <c r="I52" s="1055"/>
      <c r="J52" s="1055"/>
      <c r="K52" s="1055"/>
      <c r="L52" s="1055"/>
      <c r="M52" s="1055"/>
      <c r="N52" s="1059">
        <v>20.260442999999999</v>
      </c>
      <c r="O52" s="1059">
        <v>19.975739999999998</v>
      </c>
      <c r="P52" s="1059">
        <v>18.436015999999999</v>
      </c>
      <c r="Q52" s="1059">
        <v>18.142965</v>
      </c>
      <c r="R52" s="1059">
        <v>18.046112000000001</v>
      </c>
      <c r="S52" s="1059">
        <v>17.884491000000001</v>
      </c>
      <c r="T52" s="1059">
        <v>18.368113000000001</v>
      </c>
      <c r="U52" s="1059">
        <v>18.636278000000001</v>
      </c>
      <c r="V52" s="1059">
        <v>18.783104000000002</v>
      </c>
      <c r="W52" s="1059">
        <v>18.727132999999998</v>
      </c>
      <c r="X52" s="1059">
        <v>18.720291</v>
      </c>
      <c r="Y52" s="1059">
        <v>18.854441000000001</v>
      </c>
      <c r="Z52" s="1059">
        <v>18.961594000000002</v>
      </c>
      <c r="AA52" s="1059">
        <v>19.089853000000002</v>
      </c>
      <c r="AB52" s="1059">
        <v>19.158766</v>
      </c>
      <c r="AC52" s="1059">
        <v>19.181961000000001</v>
      </c>
      <c r="AD52" s="1059">
        <v>19.274345</v>
      </c>
      <c r="AE52" s="1059">
        <v>19.362473000000001</v>
      </c>
      <c r="AF52" s="1059">
        <v>19.467001</v>
      </c>
      <c r="AG52" s="1059">
        <v>19.610374</v>
      </c>
      <c r="AH52" s="1059">
        <v>19.726358000000001</v>
      </c>
      <c r="AI52" s="1059">
        <v>19.866886000000001</v>
      </c>
      <c r="AJ52" s="1059">
        <v>20.029399999999999</v>
      </c>
      <c r="AK52" s="1059">
        <v>20.204810999999999</v>
      </c>
      <c r="AL52" s="1059">
        <v>20.42868</v>
      </c>
      <c r="AM52" s="1059">
        <v>20.795019</v>
      </c>
      <c r="AN52" s="1059">
        <v>21.263971000000002</v>
      </c>
      <c r="AO52" s="1059">
        <v>21.670811</v>
      </c>
      <c r="AP52" s="1059">
        <v>22.067454999999999</v>
      </c>
      <c r="AQ52" s="1059">
        <v>22.488647</v>
      </c>
      <c r="AR52" s="1059">
        <v>22.744430999999999</v>
      </c>
      <c r="AS52" s="1055"/>
      <c r="AT52" s="1055"/>
      <c r="AU52" s="1055"/>
      <c r="AV52" s="1055"/>
      <c r="AW52" s="1055"/>
      <c r="AX52" s="1055"/>
      <c r="AY52" s="1055"/>
      <c r="AZ52" s="1055"/>
      <c r="BA52" s="1055"/>
      <c r="BB52" s="1055"/>
      <c r="BC52" s="1055"/>
      <c r="BD52" s="1055"/>
      <c r="BE52" s="1055"/>
      <c r="BF52" s="1055"/>
      <c r="BG52" s="1055"/>
      <c r="BH52" s="1055"/>
      <c r="BI52" s="1055"/>
      <c r="BJ52" s="1055"/>
      <c r="BK52" s="1055"/>
      <c r="BL52" s="1055"/>
      <c r="BM52" s="1055"/>
      <c r="BN52" s="1055"/>
      <c r="BO52" s="1055"/>
      <c r="BP52" s="1055"/>
      <c r="BQ52" s="1055"/>
      <c r="BR52" s="1055"/>
      <c r="BS52" s="1055"/>
      <c r="BT52" s="1055"/>
      <c r="BU52" s="1055"/>
      <c r="BV52" s="1057"/>
    </row>
    <row r="53" spans="1:104" s="1053" customFormat="1" ht="13" thickBot="1" x14ac:dyDescent="0.3">
      <c r="A53" s="1062" t="s">
        <v>684</v>
      </c>
      <c r="B53" s="1063"/>
      <c r="C53" s="1064"/>
      <c r="D53" s="1254"/>
      <c r="E53" s="1064"/>
      <c r="F53" s="1063"/>
      <c r="G53" s="1063"/>
      <c r="H53" s="1063"/>
      <c r="I53" s="1063"/>
      <c r="J53" s="1063"/>
      <c r="K53" s="1063"/>
      <c r="L53" s="1063"/>
      <c r="M53" s="1063"/>
      <c r="N53" s="1065">
        <v>34.522823000000002</v>
      </c>
      <c r="O53" s="1065">
        <v>34.335875999999999</v>
      </c>
      <c r="P53" s="1065">
        <v>33.266716000000002</v>
      </c>
      <c r="Q53" s="1065">
        <v>32.549408</v>
      </c>
      <c r="R53" s="1065">
        <v>33.007488000000002</v>
      </c>
      <c r="S53" s="1065">
        <v>33.062362999999998</v>
      </c>
      <c r="T53" s="1065">
        <v>33.578304000000003</v>
      </c>
      <c r="U53" s="1065">
        <v>33.826259999999998</v>
      </c>
      <c r="V53" s="1065">
        <v>33.834632999999997</v>
      </c>
      <c r="W53" s="1065">
        <v>33.642589999999998</v>
      </c>
      <c r="X53" s="1065">
        <v>33.615443999999997</v>
      </c>
      <c r="Y53" s="1065">
        <v>33.658813000000002</v>
      </c>
      <c r="Z53" s="1065">
        <v>33.691249999999997</v>
      </c>
      <c r="AA53" s="1065">
        <v>33.703487000000003</v>
      </c>
      <c r="AB53" s="1065">
        <v>33.839970000000001</v>
      </c>
      <c r="AC53" s="1065">
        <v>33.959377000000003</v>
      </c>
      <c r="AD53" s="1065">
        <v>34.126075999999998</v>
      </c>
      <c r="AE53" s="1065">
        <v>34.265704999999997</v>
      </c>
      <c r="AF53" s="1065">
        <v>34.413651000000002</v>
      </c>
      <c r="AG53" s="1065">
        <v>34.510967000000001</v>
      </c>
      <c r="AH53" s="1065">
        <v>34.561591999999997</v>
      </c>
      <c r="AI53" s="1065">
        <v>34.686400999999996</v>
      </c>
      <c r="AJ53" s="1065">
        <v>34.807406999999998</v>
      </c>
      <c r="AK53" s="1065">
        <v>34.923721</v>
      </c>
      <c r="AL53" s="1065">
        <v>35.082526999999999</v>
      </c>
      <c r="AM53" s="1065">
        <v>35.421287999999997</v>
      </c>
      <c r="AN53" s="1065">
        <v>35.835976000000002</v>
      </c>
      <c r="AO53" s="1065">
        <v>36.175975999999999</v>
      </c>
      <c r="AP53" s="1065">
        <v>36.502800000000001</v>
      </c>
      <c r="AQ53" s="1065">
        <v>36.906086000000002</v>
      </c>
      <c r="AR53" s="1065">
        <v>37.098595000000003</v>
      </c>
      <c r="AS53" s="1063"/>
      <c r="AT53" s="1063"/>
      <c r="AU53" s="1063"/>
      <c r="AV53" s="1063"/>
      <c r="AW53" s="1063"/>
      <c r="AX53" s="1063"/>
      <c r="AY53" s="1063"/>
      <c r="AZ53" s="1063"/>
      <c r="BA53" s="1063"/>
      <c r="BB53" s="1063"/>
      <c r="BC53" s="1063"/>
      <c r="BD53" s="1063"/>
      <c r="BE53" s="1063"/>
      <c r="BF53" s="1063"/>
      <c r="BG53" s="1063"/>
      <c r="BH53" s="1063"/>
      <c r="BI53" s="1063"/>
      <c r="BJ53" s="1063"/>
      <c r="BK53" s="1063"/>
      <c r="BL53" s="1063"/>
      <c r="BM53" s="1063"/>
      <c r="BN53" s="1063"/>
      <c r="BO53" s="1063"/>
      <c r="BP53" s="1063"/>
      <c r="BQ53" s="1063"/>
      <c r="BR53" s="1063"/>
      <c r="BS53" s="1063"/>
      <c r="BT53" s="1063"/>
      <c r="BU53" s="1063"/>
      <c r="BV53" s="1066"/>
    </row>
    <row r="54" spans="1:104" x14ac:dyDescent="0.25">
      <c r="A54" s="877"/>
      <c r="B54" s="260"/>
      <c r="C54" s="874"/>
      <c r="D54" s="1251"/>
      <c r="E54" s="874"/>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6"/>
    </row>
    <row r="55" spans="1:104" ht="13" thickBot="1" x14ac:dyDescent="0.3">
      <c r="A55" s="877"/>
      <c r="B55" s="260"/>
      <c r="C55" s="874"/>
      <c r="D55" s="1251"/>
      <c r="E55" s="881"/>
      <c r="F55" s="88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6"/>
    </row>
    <row r="56" spans="1:104" ht="13.5" thickTop="1" x14ac:dyDescent="0.3">
      <c r="A56" s="867" t="s">
        <v>1106</v>
      </c>
      <c r="B56" s="868" t="str">
        <f>"Prices are in $(" &amp; ref_year&amp;")/GJ LHV"</f>
        <v>Prices are in $(2016)/GJ LHV</v>
      </c>
      <c r="C56" s="868"/>
      <c r="D56" s="1255"/>
      <c r="E56" s="868"/>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869"/>
      <c r="AK56" s="869"/>
      <c r="AL56" s="869"/>
      <c r="AM56" s="869"/>
      <c r="AN56" s="869"/>
      <c r="AO56" s="869"/>
      <c r="AP56" s="869"/>
      <c r="AQ56" s="869"/>
      <c r="AR56" s="869"/>
      <c r="AS56" s="882" t="s">
        <v>772</v>
      </c>
      <c r="AT56" s="883"/>
      <c r="AU56" s="883"/>
      <c r="AV56" s="883"/>
      <c r="AW56" s="883"/>
      <c r="AX56" s="883"/>
      <c r="AY56" s="883"/>
      <c r="AZ56" s="883"/>
      <c r="BA56" s="883"/>
      <c r="BB56" s="883"/>
      <c r="BC56" s="883"/>
      <c r="BD56" s="883"/>
      <c r="BE56" s="883"/>
      <c r="BF56" s="883"/>
      <c r="BG56" s="883"/>
      <c r="BH56" s="883"/>
      <c r="BI56" s="883"/>
      <c r="BJ56" s="883"/>
      <c r="BK56" s="883"/>
      <c r="BL56" s="883"/>
      <c r="BM56" s="883"/>
      <c r="BN56" s="883"/>
      <c r="BO56" s="883"/>
      <c r="BP56" s="883"/>
      <c r="BQ56" s="883"/>
      <c r="BR56" s="883"/>
      <c r="BS56" s="883"/>
      <c r="BT56" s="883"/>
      <c r="BU56" s="883"/>
      <c r="BV56" s="884"/>
    </row>
    <row r="57" spans="1:104" ht="39.5" thickBot="1" x14ac:dyDescent="0.35">
      <c r="A57" s="1122" t="s">
        <v>1084</v>
      </c>
      <c r="B57" s="1123" t="s">
        <v>678</v>
      </c>
      <c r="C57" s="1123" t="s">
        <v>679</v>
      </c>
      <c r="D57" s="1256" t="s">
        <v>690</v>
      </c>
      <c r="E57" s="1123" t="s">
        <v>691</v>
      </c>
      <c r="F57" s="1124" t="s">
        <v>680</v>
      </c>
      <c r="G57" s="1124" t="s">
        <v>692</v>
      </c>
      <c r="H57" s="1067">
        <v>2004</v>
      </c>
      <c r="I57" s="1067">
        <v>2005</v>
      </c>
      <c r="J57" s="1067">
        <v>2006</v>
      </c>
      <c r="K57" s="1067">
        <v>2007</v>
      </c>
      <c r="L57" s="1067">
        <v>2008</v>
      </c>
      <c r="M57" s="1067">
        <v>2009</v>
      </c>
      <c r="N57" s="1124">
        <v>2010</v>
      </c>
      <c r="O57" s="1124">
        <v>2011</v>
      </c>
      <c r="P57" s="1124">
        <v>2012</v>
      </c>
      <c r="Q57" s="1124">
        <v>2013</v>
      </c>
      <c r="R57" s="1124">
        <v>2014</v>
      </c>
      <c r="S57" s="1124">
        <v>2015</v>
      </c>
      <c r="T57" s="1124">
        <v>2016</v>
      </c>
      <c r="U57" s="1124">
        <v>2017</v>
      </c>
      <c r="V57" s="1124">
        <v>2018</v>
      </c>
      <c r="W57" s="1124">
        <v>2019</v>
      </c>
      <c r="X57" s="1124">
        <v>2020</v>
      </c>
      <c r="Y57" s="1124">
        <v>2021</v>
      </c>
      <c r="Z57" s="1124">
        <v>2022</v>
      </c>
      <c r="AA57" s="1124">
        <v>2023</v>
      </c>
      <c r="AB57" s="1124">
        <v>2024</v>
      </c>
      <c r="AC57" s="1124">
        <v>2025</v>
      </c>
      <c r="AD57" s="1124">
        <v>2026</v>
      </c>
      <c r="AE57" s="1124">
        <v>2027</v>
      </c>
      <c r="AF57" s="1124">
        <v>2028</v>
      </c>
      <c r="AG57" s="1124">
        <v>2029</v>
      </c>
      <c r="AH57" s="1124">
        <v>2030</v>
      </c>
      <c r="AI57" s="1124">
        <v>2031</v>
      </c>
      <c r="AJ57" s="1124">
        <v>2032</v>
      </c>
      <c r="AK57" s="1124">
        <v>2033</v>
      </c>
      <c r="AL57" s="1124">
        <v>2034</v>
      </c>
      <c r="AM57" s="1124">
        <v>2035</v>
      </c>
      <c r="AN57" s="1124">
        <v>2036</v>
      </c>
      <c r="AO57" s="1124">
        <v>2037</v>
      </c>
      <c r="AP57" s="1124">
        <v>2038</v>
      </c>
      <c r="AQ57" s="1124">
        <v>2039</v>
      </c>
      <c r="AR57" s="1124">
        <v>2040</v>
      </c>
      <c r="AS57" s="1124">
        <v>2041</v>
      </c>
      <c r="AT57" s="1124">
        <v>2042</v>
      </c>
      <c r="AU57" s="1124">
        <v>2043</v>
      </c>
      <c r="AV57" s="1124">
        <v>2044</v>
      </c>
      <c r="AW57" s="1124">
        <v>2045</v>
      </c>
      <c r="AX57" s="1124">
        <v>2046</v>
      </c>
      <c r="AY57" s="1124">
        <v>2047</v>
      </c>
      <c r="AZ57" s="1124">
        <v>2048</v>
      </c>
      <c r="BA57" s="1124">
        <v>2049</v>
      </c>
      <c r="BB57" s="1124">
        <v>2050</v>
      </c>
      <c r="BC57" s="1124">
        <v>2051</v>
      </c>
      <c r="BD57" s="1124">
        <v>2052</v>
      </c>
      <c r="BE57" s="1124">
        <v>2053</v>
      </c>
      <c r="BF57" s="1124">
        <v>2054</v>
      </c>
      <c r="BG57" s="1124">
        <v>2055</v>
      </c>
      <c r="BH57" s="1124">
        <v>2056</v>
      </c>
      <c r="BI57" s="1124">
        <v>2057</v>
      </c>
      <c r="BJ57" s="1124">
        <v>2058</v>
      </c>
      <c r="BK57" s="1124">
        <v>2059</v>
      </c>
      <c r="BL57" s="1124">
        <v>2060</v>
      </c>
      <c r="BM57" s="1124">
        <v>2061</v>
      </c>
      <c r="BN57" s="1124">
        <v>2062</v>
      </c>
      <c r="BO57" s="1124">
        <v>2063</v>
      </c>
      <c r="BP57" s="1124">
        <v>2064</v>
      </c>
      <c r="BQ57" s="1124">
        <v>2065</v>
      </c>
      <c r="BR57" s="1124">
        <v>2066</v>
      </c>
      <c r="BS57" s="1124">
        <v>2067</v>
      </c>
      <c r="BT57" s="1124">
        <v>2068</v>
      </c>
      <c r="BU57" s="1124">
        <v>2069</v>
      </c>
      <c r="BV57" s="1125">
        <v>2070</v>
      </c>
      <c r="BW57" s="1399">
        <f t="shared" ref="BW57" si="130">+BV57+1</f>
        <v>2071</v>
      </c>
      <c r="BX57" s="1399">
        <f t="shared" ref="BX57" si="131">+BW57+1</f>
        <v>2072</v>
      </c>
      <c r="BY57" s="1399">
        <f t="shared" ref="BY57" si="132">+BX57+1</f>
        <v>2073</v>
      </c>
      <c r="BZ57" s="1399">
        <f t="shared" ref="BZ57" si="133">+BY57+1</f>
        <v>2074</v>
      </c>
      <c r="CA57" s="1399">
        <f t="shared" ref="CA57" si="134">+BZ57+1</f>
        <v>2075</v>
      </c>
      <c r="CB57" s="1399">
        <f t="shared" ref="CB57" si="135">+CA57+1</f>
        <v>2076</v>
      </c>
      <c r="CC57" s="1399">
        <f t="shared" ref="CC57" si="136">+CB57+1</f>
        <v>2077</v>
      </c>
      <c r="CD57" s="1399">
        <f t="shared" ref="CD57" si="137">+CC57+1</f>
        <v>2078</v>
      </c>
      <c r="CE57" s="1399">
        <f t="shared" ref="CE57" si="138">+CD57+1</f>
        <v>2079</v>
      </c>
      <c r="CF57" s="1399">
        <f t="shared" ref="CF57" si="139">+CE57+1</f>
        <v>2080</v>
      </c>
      <c r="CG57" s="1399">
        <f t="shared" ref="CG57" si="140">+CF57+1</f>
        <v>2081</v>
      </c>
      <c r="CH57" s="1399">
        <f t="shared" ref="CH57" si="141">+CG57+1</f>
        <v>2082</v>
      </c>
      <c r="CI57" s="1399">
        <f t="shared" ref="CI57" si="142">+CH57+1</f>
        <v>2083</v>
      </c>
      <c r="CJ57" s="1399">
        <f t="shared" ref="CJ57" si="143">+CI57+1</f>
        <v>2084</v>
      </c>
      <c r="CK57" s="1399">
        <f t="shared" ref="CK57" si="144">+CJ57+1</f>
        <v>2085</v>
      </c>
      <c r="CL57" s="1399">
        <f t="shared" ref="CL57" si="145">+CK57+1</f>
        <v>2086</v>
      </c>
      <c r="CM57" s="1399">
        <f t="shared" ref="CM57" si="146">+CL57+1</f>
        <v>2087</v>
      </c>
      <c r="CN57" s="1399">
        <f t="shared" ref="CN57" si="147">+CM57+1</f>
        <v>2088</v>
      </c>
      <c r="CO57" s="1399">
        <f t="shared" ref="CO57" si="148">+CN57+1</f>
        <v>2089</v>
      </c>
      <c r="CP57" s="1399">
        <f t="shared" ref="CP57" si="149">+CO57+1</f>
        <v>2090</v>
      </c>
      <c r="CQ57" s="1399">
        <f t="shared" ref="CQ57" si="150">+CP57+1</f>
        <v>2091</v>
      </c>
      <c r="CR57" s="1399">
        <f t="shared" ref="CR57" si="151">+CQ57+1</f>
        <v>2092</v>
      </c>
      <c r="CS57" s="1399">
        <f t="shared" ref="CS57" si="152">+CR57+1</f>
        <v>2093</v>
      </c>
      <c r="CT57" s="1399">
        <f t="shared" ref="CT57" si="153">+CS57+1</f>
        <v>2094</v>
      </c>
      <c r="CU57" s="1399">
        <f t="shared" ref="CU57" si="154">+CT57+1</f>
        <v>2095</v>
      </c>
      <c r="CV57" s="1399">
        <f t="shared" ref="CV57" si="155">+CU57+1</f>
        <v>2096</v>
      </c>
      <c r="CW57" s="1399">
        <f t="shared" ref="CW57" si="156">+CV57+1</f>
        <v>2097</v>
      </c>
      <c r="CX57" s="1399">
        <f t="shared" ref="CX57" si="157">+CW57+1</f>
        <v>2098</v>
      </c>
      <c r="CY57" s="1399">
        <f t="shared" ref="CY57" si="158">+CX57+1</f>
        <v>2099</v>
      </c>
      <c r="CZ57" s="1399">
        <f t="shared" ref="CZ57" si="159">+CY57+1</f>
        <v>2100</v>
      </c>
    </row>
    <row r="58" spans="1:104" ht="13" thickBot="1" x14ac:dyDescent="0.3">
      <c r="A58" s="870" t="s">
        <v>1090</v>
      </c>
      <c r="B58" s="871"/>
      <c r="C58" s="871"/>
      <c r="D58" s="1257"/>
      <c r="E58" s="871"/>
      <c r="F58" s="871"/>
      <c r="G58" s="871"/>
      <c r="H58" s="871"/>
      <c r="I58" s="871"/>
      <c r="J58" s="871"/>
      <c r="K58" s="871"/>
      <c r="L58" s="871"/>
      <c r="M58" s="871"/>
      <c r="N58" s="871"/>
      <c r="O58" s="871"/>
      <c r="P58" s="871"/>
      <c r="Q58" s="871"/>
      <c r="R58" s="871"/>
      <c r="S58" s="871"/>
      <c r="T58" s="871"/>
      <c r="U58" s="871"/>
      <c r="V58" s="871"/>
      <c r="W58" s="871"/>
      <c r="X58" s="871"/>
      <c r="Y58" s="871"/>
      <c r="Z58" s="871"/>
      <c r="AA58" s="871"/>
      <c r="AB58" s="871"/>
      <c r="AC58" s="871"/>
      <c r="AD58" s="871"/>
      <c r="AE58" s="871"/>
      <c r="AF58" s="871"/>
      <c r="AG58" s="871"/>
      <c r="AH58" s="871"/>
      <c r="AI58" s="871"/>
      <c r="AJ58" s="871"/>
      <c r="AK58" s="871"/>
      <c r="AL58" s="871"/>
      <c r="AM58" s="871"/>
      <c r="AN58" s="871"/>
      <c r="AO58" s="871"/>
      <c r="AP58" s="871"/>
      <c r="AQ58" s="871"/>
      <c r="AR58" s="871"/>
      <c r="AS58" s="871"/>
      <c r="AT58" s="871"/>
      <c r="AU58" s="871"/>
      <c r="AV58" s="871"/>
      <c r="AW58" s="871"/>
      <c r="AX58" s="871"/>
      <c r="AY58" s="871"/>
      <c r="AZ58" s="871"/>
      <c r="BA58" s="871"/>
      <c r="BB58" s="871"/>
      <c r="BC58" s="871"/>
      <c r="BD58" s="871"/>
      <c r="BE58" s="871"/>
      <c r="BF58" s="871"/>
      <c r="BG58" s="871"/>
      <c r="BH58" s="871"/>
      <c r="BI58" s="871"/>
      <c r="BJ58" s="871"/>
      <c r="BK58" s="871"/>
      <c r="BL58" s="871"/>
      <c r="BM58" s="871"/>
      <c r="BN58" s="871"/>
      <c r="BO58" s="871"/>
      <c r="BP58" s="871"/>
      <c r="BQ58" s="871"/>
      <c r="BR58" s="871"/>
      <c r="BS58" s="871"/>
      <c r="BT58" s="871"/>
      <c r="BU58" s="871"/>
      <c r="BV58" s="872"/>
    </row>
    <row r="59" spans="1:104" ht="13" x14ac:dyDescent="0.3">
      <c r="A59" s="873" t="str">
        <f>'HyARC Physical Property Data'!A73</f>
        <v>Residential Natural Gas</v>
      </c>
      <c r="B59" s="260">
        <v>2011</v>
      </c>
      <c r="C59" s="874">
        <f>VLOOKUP(ref_year,DeflatorTable,2,FALSE)/VLOOKUP(B59,DeflatorTable,2,FALSE)</f>
        <v>1.0784554773635862</v>
      </c>
      <c r="D59" s="1258" t="str">
        <f>'HyARC Physical Property Data'!H73</f>
        <v>mmBtu</v>
      </c>
      <c r="E59" s="874" t="s">
        <v>1058</v>
      </c>
      <c r="F59" s="260">
        <f>'HyARC Physical Property Data'!$E$6</f>
        <v>47.141269049911173</v>
      </c>
      <c r="G59" s="260">
        <f>'HyARC Physical Property Data'!$I$6</f>
        <v>52.224661236371581</v>
      </c>
      <c r="H59" s="1069">
        <v>13.568796522291001</v>
      </c>
      <c r="I59" s="1069">
        <v>13.568796522291001</v>
      </c>
      <c r="J59" s="1069">
        <v>13.568796522291001</v>
      </c>
      <c r="K59" s="1069">
        <v>12.569562315288914</v>
      </c>
      <c r="L59" s="1069">
        <v>12.891154499364562</v>
      </c>
      <c r="M59" s="1069">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9">
        <f t="shared" si="160"/>
        <v>16.116906877885302</v>
      </c>
      <c r="AJ59" s="959">
        <f t="shared" si="160"/>
        <v>16.508795790382088</v>
      </c>
      <c r="AK59" s="959">
        <f t="shared" si="160"/>
        <v>16.937809113598334</v>
      </c>
      <c r="AL59" s="959">
        <f t="shared" si="160"/>
        <v>17.381004274269273</v>
      </c>
      <c r="AM59" s="959">
        <f t="shared" si="160"/>
        <v>17.788911879634913</v>
      </c>
      <c r="AN59" s="959">
        <f t="shared" si="160"/>
        <v>18.311687498791546</v>
      </c>
      <c r="AO59" s="959">
        <f t="shared" si="160"/>
        <v>18.65334373828842</v>
      </c>
      <c r="AP59" s="959">
        <f t="shared" si="160"/>
        <v>19.195162859691969</v>
      </c>
      <c r="AQ59" s="959">
        <f t="shared" si="160"/>
        <v>19.682735858288098</v>
      </c>
      <c r="AR59" s="959">
        <f t="shared" si="160"/>
        <v>20.015032288908259</v>
      </c>
      <c r="AS59" s="959">
        <f>($BB59-$AR59)/10+AR59</f>
        <v>20.01518684253227</v>
      </c>
      <c r="AT59" s="959">
        <f t="shared" ref="AT59:BA59" si="161">($BB59-$AR59)/10+AS59</f>
        <v>20.01534139615628</v>
      </c>
      <c r="AU59" s="959">
        <f t="shared" si="161"/>
        <v>20.015495949780291</v>
      </c>
      <c r="AV59" s="959">
        <f t="shared" si="161"/>
        <v>20.015650503404302</v>
      </c>
      <c r="AW59" s="959">
        <f t="shared" si="161"/>
        <v>20.015805057028313</v>
      </c>
      <c r="AX59" s="959">
        <f t="shared" si="161"/>
        <v>20.015959610652324</v>
      </c>
      <c r="AY59" s="959">
        <f t="shared" si="161"/>
        <v>20.016114164276335</v>
      </c>
      <c r="AZ59" s="959">
        <f t="shared" si="161"/>
        <v>20.016268717900346</v>
      </c>
      <c r="BA59" s="959">
        <f t="shared" si="161"/>
        <v>20.016423271524356</v>
      </c>
      <c r="BB59" s="961">
        <f>'AEO Data'!$B$30*AM59</f>
        <v>20.01657782514836</v>
      </c>
      <c r="BC59" s="959">
        <f>($BQ59-$BB59)/15+BB59</f>
        <v>20.179679524085394</v>
      </c>
      <c r="BD59" s="959">
        <f t="shared" ref="BD59:BP62" si="162">($BQ59-$BB59)/15+BC59</f>
        <v>20.342781223022428</v>
      </c>
      <c r="BE59" s="959">
        <f t="shared" si="162"/>
        <v>20.505882921959461</v>
      </c>
      <c r="BF59" s="959">
        <f t="shared" si="162"/>
        <v>20.668984620896495</v>
      </c>
      <c r="BG59" s="959">
        <f t="shared" si="162"/>
        <v>20.832086319833529</v>
      </c>
      <c r="BH59" s="959">
        <f t="shared" si="162"/>
        <v>20.995188018770563</v>
      </c>
      <c r="BI59" s="959">
        <f t="shared" si="162"/>
        <v>21.158289717707596</v>
      </c>
      <c r="BJ59" s="959">
        <f t="shared" si="162"/>
        <v>21.32139141664463</v>
      </c>
      <c r="BK59" s="959">
        <f t="shared" si="162"/>
        <v>21.484493115581664</v>
      </c>
      <c r="BL59" s="959">
        <f t="shared" si="162"/>
        <v>21.647594814518698</v>
      </c>
      <c r="BM59" s="959">
        <f t="shared" si="162"/>
        <v>21.810696513455731</v>
      </c>
      <c r="BN59" s="959">
        <f t="shared" si="162"/>
        <v>21.973798212392765</v>
      </c>
      <c r="BO59" s="959">
        <f t="shared" si="162"/>
        <v>22.136899911329799</v>
      </c>
      <c r="BP59" s="959">
        <f t="shared" si="162"/>
        <v>22.300001610266833</v>
      </c>
      <c r="BQ59" s="961">
        <f>'AEO Data'!$C$30*BB59</f>
        <v>22.463103309203859</v>
      </c>
      <c r="BR59" s="958">
        <f>($BV59-$BQ59)/5+BQ59</f>
        <v>22.591499473992489</v>
      </c>
      <c r="BS59" s="959">
        <f t="shared" ref="BS59:BU62" si="163">($BV59-$BQ59)/5+BR59</f>
        <v>22.719895638781118</v>
      </c>
      <c r="BT59" s="959">
        <f t="shared" si="163"/>
        <v>22.848291803569747</v>
      </c>
      <c r="BU59" s="959">
        <f t="shared" si="163"/>
        <v>22.976687968358377</v>
      </c>
      <c r="BV59" s="962">
        <f>'AEO Data'!$D$30*BQ59</f>
        <v>23.105084133146999</v>
      </c>
      <c r="BW59" s="1398">
        <f>+BV59*BW$133/BV$133</f>
        <v>23.181799806296944</v>
      </c>
      <c r="BX59" s="1398">
        <f t="shared" ref="BX59:CZ59" si="164">+BW59*BX$133/BW$133</f>
        <v>23.258770198039247</v>
      </c>
      <c r="BY59" s="1398">
        <f t="shared" si="164"/>
        <v>23.335996154114543</v>
      </c>
      <c r="BZ59" s="1398">
        <f t="shared" si="164"/>
        <v>23.413478523071561</v>
      </c>
      <c r="CA59" s="1398">
        <f t="shared" si="164"/>
        <v>23.491218156276457</v>
      </c>
      <c r="CB59" s="1398">
        <f t="shared" si="164"/>
        <v>23.541346730111329</v>
      </c>
      <c r="CC59" s="1398">
        <f t="shared" si="164"/>
        <v>23.591582274725578</v>
      </c>
      <c r="CD59" s="1398">
        <f t="shared" si="164"/>
        <v>23.641925018387173</v>
      </c>
      <c r="CE59" s="1398">
        <f t="shared" si="164"/>
        <v>23.692375189851191</v>
      </c>
      <c r="CF59" s="1398">
        <f t="shared" si="164"/>
        <v>23.742933018360848</v>
      </c>
      <c r="CG59" s="1398">
        <f t="shared" si="164"/>
        <v>23.759348824569351</v>
      </c>
      <c r="CH59" s="1398">
        <f t="shared" si="164"/>
        <v>23.775775980626385</v>
      </c>
      <c r="CI59" s="1398">
        <f t="shared" si="164"/>
        <v>23.792214494379209</v>
      </c>
      <c r="CJ59" s="1398">
        <f t="shared" si="164"/>
        <v>23.808664373680507</v>
      </c>
      <c r="CK59" s="1398">
        <f t="shared" si="164"/>
        <v>23.825125626388392</v>
      </c>
      <c r="CL59" s="1398">
        <f t="shared" si="164"/>
        <v>23.830705260336195</v>
      </c>
      <c r="CM59" s="1398">
        <f t="shared" si="164"/>
        <v>23.836286200984979</v>
      </c>
      <c r="CN59" s="1398">
        <f t="shared" si="164"/>
        <v>23.841868448640763</v>
      </c>
      <c r="CO59" s="1398">
        <f t="shared" si="164"/>
        <v>23.847452003609632</v>
      </c>
      <c r="CP59" s="1398">
        <f t="shared" si="164"/>
        <v>23.853036866197748</v>
      </c>
      <c r="CQ59" s="1398">
        <f t="shared" si="164"/>
        <v>23.861501261663879</v>
      </c>
      <c r="CR59" s="1398">
        <f t="shared" si="164"/>
        <v>23.869968660772315</v>
      </c>
      <c r="CS59" s="1398">
        <f t="shared" si="164"/>
        <v>23.878439064588914</v>
      </c>
      <c r="CT59" s="1398">
        <f t="shared" si="164"/>
        <v>23.886912474179919</v>
      </c>
      <c r="CU59" s="1398">
        <f t="shared" si="164"/>
        <v>23.89538889061194</v>
      </c>
      <c r="CV59" s="1398">
        <f t="shared" si="164"/>
        <v>23.908434131387597</v>
      </c>
      <c r="CW59" s="1398">
        <f t="shared" si="164"/>
        <v>23.921486493968537</v>
      </c>
      <c r="CX59" s="1398">
        <f t="shared" si="164"/>
        <v>23.934545982242778</v>
      </c>
      <c r="CY59" s="1398">
        <f t="shared" si="164"/>
        <v>23.947612600100459</v>
      </c>
      <c r="CZ59" s="1398">
        <f t="shared" si="164"/>
        <v>23.960686351433843</v>
      </c>
    </row>
    <row r="60" spans="1:104" ht="13" x14ac:dyDescent="0.3">
      <c r="A60" s="873" t="str">
        <f>'HyARC Physical Property Data'!A71</f>
        <v>Commercial Natural Gas</v>
      </c>
      <c r="B60" s="260">
        <v>2011</v>
      </c>
      <c r="C60" s="874">
        <f t="shared" ref="C60:C68" si="165">VLOOKUP(ref_year,DeflatorTable,2,FALSE)/VLOOKUP(B60,DeflatorTable,2,FALSE)</f>
        <v>1.0784554773635862</v>
      </c>
      <c r="D60" s="1258" t="str">
        <f>'HyARC Physical Property Data'!H71</f>
        <v>mmBtu</v>
      </c>
      <c r="E60" s="874" t="s">
        <v>1058</v>
      </c>
      <c r="F60" s="260">
        <f>'HyARC Physical Property Data'!$E$6</f>
        <v>47.141269049911173</v>
      </c>
      <c r="G60" s="260">
        <f>'HyARC Physical Property Data'!$I$6</f>
        <v>52.224661236371581</v>
      </c>
      <c r="H60" s="1069">
        <v>11.78211597551449</v>
      </c>
      <c r="I60" s="1069">
        <v>11.78211597551449</v>
      </c>
      <c r="J60" s="1069">
        <v>11.78211597551449</v>
      </c>
      <c r="K60" s="1069">
        <v>10.884547954455588</v>
      </c>
      <c r="L60" s="1069">
        <v>11.412186165255939</v>
      </c>
      <c r="M60" s="1069">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9">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9">
        <f>'AEO Data'!$C$30*BB60</f>
        <v>18.227834176141503</v>
      </c>
      <c r="BR60" s="873">
        <f>($BV60-$BQ60)/5+BQ60</f>
        <v>18.332022095700271</v>
      </c>
      <c r="BS60" s="260">
        <f t="shared" si="163"/>
        <v>18.436210015259039</v>
      </c>
      <c r="BT60" s="260">
        <f t="shared" si="163"/>
        <v>18.540397934817808</v>
      </c>
      <c r="BU60" s="260">
        <f t="shared" si="163"/>
        <v>18.644585854376576</v>
      </c>
      <c r="BV60" s="963">
        <f>'AEO Data'!$D$30*BQ60</f>
        <v>18.748773773935348</v>
      </c>
      <c r="BW60" s="1398">
        <f>+BV60*BW$134/BV$134</f>
        <v>18.811025215761521</v>
      </c>
      <c r="BX60" s="1398">
        <f t="shared" ref="BX60:CZ60" si="168">+BW60*BX$134/BW$134</f>
        <v>18.873483350678995</v>
      </c>
      <c r="BY60" s="1398">
        <f t="shared" si="168"/>
        <v>18.93614886496961</v>
      </c>
      <c r="BZ60" s="1398">
        <f t="shared" si="168"/>
        <v>18.999022447193862</v>
      </c>
      <c r="CA60" s="1398">
        <f t="shared" si="168"/>
        <v>19.062104788198472</v>
      </c>
      <c r="CB60" s="1398">
        <f t="shared" si="168"/>
        <v>19.102781951935423</v>
      </c>
      <c r="CC60" s="1398">
        <f t="shared" si="168"/>
        <v>19.143545917820827</v>
      </c>
      <c r="CD60" s="1398">
        <f t="shared" si="168"/>
        <v>19.184396871084243</v>
      </c>
      <c r="CE60" s="1398">
        <f t="shared" si="168"/>
        <v>19.22533499735049</v>
      </c>
      <c r="CF60" s="1398">
        <f t="shared" si="168"/>
        <v>19.266360482640504</v>
      </c>
      <c r="CG60" s="1398">
        <f t="shared" si="168"/>
        <v>19.279681197473067</v>
      </c>
      <c r="CH60" s="1398">
        <f t="shared" si="168"/>
        <v>19.293011122215507</v>
      </c>
      <c r="CI60" s="1398">
        <f t="shared" si="168"/>
        <v>19.306350263235526</v>
      </c>
      <c r="CJ60" s="1398">
        <f t="shared" si="168"/>
        <v>19.319698626905243</v>
      </c>
      <c r="CK60" s="1398">
        <f t="shared" si="168"/>
        <v>19.333056219601172</v>
      </c>
      <c r="CL60" s="1398">
        <f t="shared" si="168"/>
        <v>19.337583850577364</v>
      </c>
      <c r="CM60" s="1398">
        <f t="shared" si="168"/>
        <v>19.342112541884731</v>
      </c>
      <c r="CN60" s="1398">
        <f t="shared" si="168"/>
        <v>19.346642293771598</v>
      </c>
      <c r="CO60" s="1398">
        <f t="shared" si="168"/>
        <v>19.351173106486343</v>
      </c>
      <c r="CP60" s="1398">
        <f t="shared" si="168"/>
        <v>19.355704980277398</v>
      </c>
      <c r="CQ60" s="1398">
        <f t="shared" si="168"/>
        <v>19.362573470122019</v>
      </c>
      <c r="CR60" s="1398">
        <f t="shared" si="168"/>
        <v>19.369444397292106</v>
      </c>
      <c r="CS60" s="1398">
        <f t="shared" si="168"/>
        <v>19.376317762652565</v>
      </c>
      <c r="CT60" s="1398">
        <f t="shared" si="168"/>
        <v>19.383193567068602</v>
      </c>
      <c r="CU60" s="1398">
        <f t="shared" si="168"/>
        <v>19.390071811405733</v>
      </c>
      <c r="CV60" s="1398">
        <f t="shared" si="168"/>
        <v>19.400657458561128</v>
      </c>
      <c r="CW60" s="1398">
        <f t="shared" si="168"/>
        <v>19.411248884752663</v>
      </c>
      <c r="CX60" s="1398">
        <f t="shared" si="168"/>
        <v>19.42184609313529</v>
      </c>
      <c r="CY60" s="1398">
        <f t="shared" si="168"/>
        <v>19.432449086865692</v>
      </c>
      <c r="CZ60" s="1398">
        <f t="shared" si="168"/>
        <v>19.443057869102269</v>
      </c>
    </row>
    <row r="61" spans="1:104" ht="13" x14ac:dyDescent="0.3">
      <c r="A61" s="873" t="str">
        <f>'HyARC Physical Property Data'!A72</f>
        <v>Industrial Natural Gas</v>
      </c>
      <c r="B61" s="260">
        <v>2011</v>
      </c>
      <c r="C61" s="874">
        <f t="shared" si="165"/>
        <v>1.0784554773635862</v>
      </c>
      <c r="D61" s="1258" t="str">
        <f>'HyARC Physical Property Data'!H72</f>
        <v>mmBtu</v>
      </c>
      <c r="E61" s="874" t="s">
        <v>1058</v>
      </c>
      <c r="F61" s="260">
        <f>'HyARC Physical Property Data'!$E$6</f>
        <v>47.141269049911173</v>
      </c>
      <c r="G61" s="260">
        <f>'HyARC Physical Property Data'!$I$6</f>
        <v>52.224661236371581</v>
      </c>
      <c r="H61" s="1069">
        <v>7.8800725307970341</v>
      </c>
      <c r="I61" s="1069">
        <v>7.8800725307970341</v>
      </c>
      <c r="J61" s="1069">
        <v>7.8800725307970341</v>
      </c>
      <c r="K61" s="1069">
        <v>7.4431315976064605</v>
      </c>
      <c r="L61" s="1069">
        <v>8.8750360136942668</v>
      </c>
      <c r="M61" s="1069">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9">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9">
        <f>'AEO Data'!$C$30*BB61</f>
        <v>12.19817897537731</v>
      </c>
      <c r="BR61" s="873">
        <f>($BV61-$BQ61)/5+BQ61</f>
        <v>12.26790217329369</v>
      </c>
      <c r="BS61" s="260">
        <f t="shared" si="163"/>
        <v>12.33762537121007</v>
      </c>
      <c r="BT61" s="260">
        <f t="shared" si="163"/>
        <v>12.40734856912645</v>
      </c>
      <c r="BU61" s="260">
        <f t="shared" si="163"/>
        <v>12.47707176704283</v>
      </c>
      <c r="BV61" s="963">
        <f>'AEO Data'!$D$30*BQ61</f>
        <v>12.546794964959213</v>
      </c>
      <c r="BW61" s="1398">
        <f>+BV61*BW$135/BV$135</f>
        <v>12.588454013507333</v>
      </c>
      <c r="BX61" s="1398">
        <f t="shared" ref="BX61:CZ61" si="171">+BW61*BX$135/BW$135</f>
        <v>12.630251382346072</v>
      </c>
      <c r="BY61" s="1398">
        <f t="shared" si="171"/>
        <v>12.672187530739475</v>
      </c>
      <c r="BZ61" s="1398">
        <f t="shared" si="171"/>
        <v>12.714262919476461</v>
      </c>
      <c r="CA61" s="1398">
        <f t="shared" si="171"/>
        <v>12.75647801087592</v>
      </c>
      <c r="CB61" s="1398">
        <f t="shared" si="171"/>
        <v>12.78369941955669</v>
      </c>
      <c r="CC61" s="1398">
        <f t="shared" si="171"/>
        <v>12.810978916770198</v>
      </c>
      <c r="CD61" s="1398">
        <f t="shared" si="171"/>
        <v>12.838316626473205</v>
      </c>
      <c r="CE61" s="1398">
        <f t="shared" si="171"/>
        <v>12.865712672886987</v>
      </c>
      <c r="CF61" s="1398">
        <f t="shared" si="171"/>
        <v>12.893167180497899</v>
      </c>
      <c r="CG61" s="1398">
        <f t="shared" si="171"/>
        <v>12.90208148496421</v>
      </c>
      <c r="CH61" s="1398">
        <f t="shared" si="171"/>
        <v>12.911001952758973</v>
      </c>
      <c r="CI61" s="1398">
        <f t="shared" si="171"/>
        <v>12.919928588143499</v>
      </c>
      <c r="CJ61" s="1398">
        <f t="shared" si="171"/>
        <v>12.928861395382043</v>
      </c>
      <c r="CK61" s="1398">
        <f t="shared" si="171"/>
        <v>12.937800378741811</v>
      </c>
      <c r="CL61" s="1398">
        <f t="shared" si="171"/>
        <v>12.940830297296499</v>
      </c>
      <c r="CM61" s="1398">
        <f t="shared" si="171"/>
        <v>12.943860925431345</v>
      </c>
      <c r="CN61" s="1398">
        <f t="shared" si="171"/>
        <v>12.946892263312527</v>
      </c>
      <c r="CO61" s="1398">
        <f t="shared" si="171"/>
        <v>12.949924311106264</v>
      </c>
      <c r="CP61" s="1398">
        <f t="shared" si="171"/>
        <v>12.952957068978808</v>
      </c>
      <c r="CQ61" s="1398">
        <f t="shared" si="171"/>
        <v>12.957553504715802</v>
      </c>
      <c r="CR61" s="1398">
        <f t="shared" si="171"/>
        <v>12.962151571526023</v>
      </c>
      <c r="CS61" s="1398">
        <f t="shared" si="171"/>
        <v>12.966751269988269</v>
      </c>
      <c r="CT61" s="1398">
        <f t="shared" si="171"/>
        <v>12.971352600681538</v>
      </c>
      <c r="CU61" s="1398">
        <f t="shared" si="171"/>
        <v>12.975955564185037</v>
      </c>
      <c r="CV61" s="1398">
        <f t="shared" si="171"/>
        <v>12.983039544504583</v>
      </c>
      <c r="CW61" s="1398">
        <f t="shared" si="171"/>
        <v>12.990127392190731</v>
      </c>
      <c r="CX61" s="1398">
        <f t="shared" si="171"/>
        <v>12.997219109354795</v>
      </c>
      <c r="CY61" s="1398">
        <f t="shared" si="171"/>
        <v>13.004314698109246</v>
      </c>
      <c r="CZ61" s="1398">
        <f t="shared" si="171"/>
        <v>13.011414160567707</v>
      </c>
    </row>
    <row r="62" spans="1:104" ht="13" x14ac:dyDescent="0.3">
      <c r="A62" s="873" t="str">
        <f>'HyARC Physical Property Data'!A74</f>
        <v>Electric Utility Natural Gas</v>
      </c>
      <c r="B62" s="260">
        <v>2011</v>
      </c>
      <c r="C62" s="874">
        <f t="shared" si="165"/>
        <v>1.0784554773635862</v>
      </c>
      <c r="D62" s="1258" t="str">
        <f>'HyARC Physical Property Data'!H74</f>
        <v>mmBtu</v>
      </c>
      <c r="E62" s="874" t="s">
        <v>1058</v>
      </c>
      <c r="F62" s="260">
        <f>'HyARC Physical Property Data'!$E$6</f>
        <v>47.141269049911173</v>
      </c>
      <c r="G62" s="260">
        <f>'HyARC Physical Property Data'!$I$6</f>
        <v>52.224661236371581</v>
      </c>
      <c r="H62" s="1069">
        <v>6.9870463159656619</v>
      </c>
      <c r="I62" s="1069">
        <v>6.9870463159656619</v>
      </c>
      <c r="J62" s="1069">
        <v>6.9870463159656619</v>
      </c>
      <c r="K62" s="1069">
        <v>6.9519071777354364</v>
      </c>
      <c r="L62" s="1069">
        <v>9.0904707383294223</v>
      </c>
      <c r="M62" s="1069">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9">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9">
        <f>'AEO Data'!$C$30*BB62</f>
        <v>11.301159689909367</v>
      </c>
      <c r="BR62" s="873">
        <f>($BV62-$BQ62)/5+BQ62</f>
        <v>11.365755642742549</v>
      </c>
      <c r="BS62" s="260">
        <f t="shared" si="163"/>
        <v>11.430351595575731</v>
      </c>
      <c r="BT62" s="260">
        <f t="shared" si="163"/>
        <v>11.494947548408913</v>
      </c>
      <c r="BU62" s="260">
        <f t="shared" si="163"/>
        <v>11.559543501242095</v>
      </c>
      <c r="BV62" s="963">
        <f>'AEO Data'!$D$30*BQ62</f>
        <v>11.624139454075273</v>
      </c>
      <c r="BW62" s="1398">
        <f>+BV62*BW$136/BV$136</f>
        <v>11.662735015029273</v>
      </c>
      <c r="BX62" s="1398">
        <f t="shared" ref="BX62:CZ63" si="174">+BW62*BX$136/BW$136</f>
        <v>11.701458724594294</v>
      </c>
      <c r="BY62" s="1398">
        <f t="shared" si="174"/>
        <v>11.740311008261404</v>
      </c>
      <c r="BZ62" s="1398">
        <f t="shared" si="174"/>
        <v>11.779292292934432</v>
      </c>
      <c r="CA62" s="1398">
        <f t="shared" si="174"/>
        <v>11.818403006934647</v>
      </c>
      <c r="CB62" s="1398">
        <f t="shared" si="174"/>
        <v>11.843622630872503</v>
      </c>
      <c r="CC62" s="1398">
        <f t="shared" si="174"/>
        <v>11.868896071678103</v>
      </c>
      <c r="CD62" s="1398">
        <f t="shared" si="174"/>
        <v>11.894223444192779</v>
      </c>
      <c r="CE62" s="1398">
        <f t="shared" si="174"/>
        <v>11.919604863502929</v>
      </c>
      <c r="CF62" s="1398">
        <f t="shared" si="174"/>
        <v>11.94504044494054</v>
      </c>
      <c r="CG62" s="1398">
        <f t="shared" si="174"/>
        <v>11.95329921688524</v>
      </c>
      <c r="CH62" s="1398">
        <f t="shared" si="174"/>
        <v>11.961563698924795</v>
      </c>
      <c r="CI62" s="1398">
        <f t="shared" si="174"/>
        <v>11.969833895007156</v>
      </c>
      <c r="CJ62" s="1398">
        <f t="shared" si="174"/>
        <v>11.978109809082998</v>
      </c>
      <c r="CK62" s="1398">
        <f t="shared" si="174"/>
        <v>11.986391445105726</v>
      </c>
      <c r="CL62" s="1398">
        <f t="shared" si="174"/>
        <v>11.98919855209301</v>
      </c>
      <c r="CM62" s="1398">
        <f t="shared" si="174"/>
        <v>11.992006316479953</v>
      </c>
      <c r="CN62" s="1398">
        <f t="shared" si="174"/>
        <v>11.994814738420512</v>
      </c>
      <c r="CO62" s="1398">
        <f t="shared" si="174"/>
        <v>11.99762381806868</v>
      </c>
      <c r="CP62" s="1398">
        <f t="shared" si="174"/>
        <v>12.000433555578486</v>
      </c>
      <c r="CQ62" s="1398">
        <f t="shared" si="174"/>
        <v>12.00469198254312</v>
      </c>
      <c r="CR62" s="1398">
        <f t="shared" si="174"/>
        <v>12.008951920636509</v>
      </c>
      <c r="CS62" s="1398">
        <f t="shared" si="174"/>
        <v>12.013213370394887</v>
      </c>
      <c r="CT62" s="1398">
        <f t="shared" si="174"/>
        <v>12.017476332354676</v>
      </c>
      <c r="CU62" s="1398">
        <f t="shared" si="174"/>
        <v>12.021740807052488</v>
      </c>
      <c r="CV62" s="1398">
        <f t="shared" si="174"/>
        <v>12.028303851667012</v>
      </c>
      <c r="CW62" s="1398">
        <f t="shared" si="174"/>
        <v>12.034870479253032</v>
      </c>
      <c r="CX62" s="1398">
        <f t="shared" si="174"/>
        <v>12.041440691766601</v>
      </c>
      <c r="CY62" s="1398">
        <f t="shared" si="174"/>
        <v>12.048014491164842</v>
      </c>
      <c r="CZ62" s="1398">
        <f t="shared" si="174"/>
        <v>12.054591879405951</v>
      </c>
    </row>
    <row r="63" spans="1:104" ht="13" x14ac:dyDescent="0.3">
      <c r="A63" s="873" t="str">
        <f>'HyARC Physical Property Data'!A75</f>
        <v>Bio Methane</v>
      </c>
      <c r="B63" s="260">
        <v>2007</v>
      </c>
      <c r="C63" s="874">
        <f t="shared" si="165"/>
        <v>1.1446359956438654</v>
      </c>
      <c r="D63" s="1261" t="str">
        <f>'HyARC Physical Property Data'!H75</f>
        <v>mmBtu</v>
      </c>
      <c r="E63" s="874" t="s">
        <v>1058</v>
      </c>
      <c r="F63" s="260">
        <f>'HyARC Physical Property Data'!$E$6</f>
        <v>47.141269049911173</v>
      </c>
      <c r="G63" s="260">
        <f>'HyARC Physical Property Data'!$I$6</f>
        <v>52.224661236371581</v>
      </c>
      <c r="H63" s="1069">
        <v>12.42654028436019</v>
      </c>
      <c r="I63" s="1069">
        <v>12.42654028436019</v>
      </c>
      <c r="J63" s="1069">
        <v>12.42654028436019</v>
      </c>
      <c r="K63" s="1069">
        <v>12.42654028436019</v>
      </c>
      <c r="L63" s="1069">
        <v>12.42654028436019</v>
      </c>
      <c r="M63" s="1069">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3">
        <f t="shared" si="176"/>
        <v>14.223865310797228</v>
      </c>
      <c r="BS63" s="260">
        <f t="shared" si="176"/>
        <v>14.223865310797228</v>
      </c>
      <c r="BT63" s="260">
        <f t="shared" si="176"/>
        <v>14.223865310797228</v>
      </c>
      <c r="BU63" s="260">
        <f t="shared" si="176"/>
        <v>14.223865310797228</v>
      </c>
      <c r="BV63" s="876">
        <f t="shared" si="176"/>
        <v>14.223865310797228</v>
      </c>
      <c r="BW63" s="1398">
        <f>+BV63*BW$136/BV$136</f>
        <v>14.271092726019944</v>
      </c>
      <c r="BX63" s="1398">
        <f t="shared" si="174"/>
        <v>14.318476950147966</v>
      </c>
      <c r="BY63" s="1398">
        <f t="shared" si="174"/>
        <v>14.366018503832969</v>
      </c>
      <c r="BZ63" s="1398">
        <f t="shared" si="174"/>
        <v>14.413717909455341</v>
      </c>
      <c r="CA63" s="1398">
        <f t="shared" si="174"/>
        <v>14.461575691129934</v>
      </c>
      <c r="CB63" s="1398">
        <f t="shared" si="174"/>
        <v>14.49243565590395</v>
      </c>
      <c r="CC63" s="1398">
        <f t="shared" si="174"/>
        <v>14.523361473628309</v>
      </c>
      <c r="CD63" s="1398">
        <f t="shared" si="174"/>
        <v>14.554353284828478</v>
      </c>
      <c r="CE63" s="1398">
        <f t="shared" si="174"/>
        <v>14.585411230329802</v>
      </c>
      <c r="CF63" s="1398">
        <f t="shared" si="174"/>
        <v>14.616535451258134</v>
      </c>
      <c r="CG63" s="1398">
        <f t="shared" si="174"/>
        <v>14.626641288360148</v>
      </c>
      <c r="CH63" s="1398">
        <f t="shared" si="174"/>
        <v>14.636754112613382</v>
      </c>
      <c r="CI63" s="1398">
        <f t="shared" si="174"/>
        <v>14.646873928848736</v>
      </c>
      <c r="CJ63" s="1398">
        <f t="shared" si="174"/>
        <v>14.657000741900452</v>
      </c>
      <c r="CK63" s="1398">
        <f t="shared" si="174"/>
        <v>14.667134556606111</v>
      </c>
      <c r="CL63" s="1398">
        <f t="shared" si="174"/>
        <v>14.670569469948116</v>
      </c>
      <c r="CM63" s="1398">
        <f t="shared" si="174"/>
        <v>14.674005187716483</v>
      </c>
      <c r="CN63" s="1398">
        <f t="shared" si="174"/>
        <v>14.6774417100996</v>
      </c>
      <c r="CO63" s="1398">
        <f t="shared" si="174"/>
        <v>14.6808790372859</v>
      </c>
      <c r="CP63" s="1398">
        <f t="shared" si="174"/>
        <v>14.684317169463862</v>
      </c>
      <c r="CQ63" s="1398">
        <f t="shared" si="174"/>
        <v>14.689527988881515</v>
      </c>
      <c r="CR63" s="1398">
        <f t="shared" si="174"/>
        <v>14.69474065739019</v>
      </c>
      <c r="CS63" s="1398">
        <f t="shared" si="174"/>
        <v>14.699955175646044</v>
      </c>
      <c r="CT63" s="1398">
        <f t="shared" si="174"/>
        <v>14.705171544305472</v>
      </c>
      <c r="CU63" s="1398">
        <f t="shared" si="174"/>
        <v>14.710389764025104</v>
      </c>
      <c r="CV63" s="1398">
        <f t="shared" si="174"/>
        <v>14.718420626266095</v>
      </c>
      <c r="CW63" s="1398">
        <f t="shared" si="174"/>
        <v>14.726455872806168</v>
      </c>
      <c r="CX63" s="1398">
        <f t="shared" si="174"/>
        <v>14.734495506038849</v>
      </c>
      <c r="CY63" s="1398">
        <f t="shared" si="174"/>
        <v>14.74253952835897</v>
      </c>
      <c r="CZ63" s="1398">
        <f t="shared" si="174"/>
        <v>14.750587942162673</v>
      </c>
    </row>
    <row r="64" spans="1:104" ht="13" x14ac:dyDescent="0.3">
      <c r="A64" s="964" t="str">
        <f>'HyARC Physical Property Data'!A85</f>
        <v>Woody Biomass</v>
      </c>
      <c r="B64" s="260">
        <v>2005</v>
      </c>
      <c r="C64" s="874">
        <f>VLOOKUP(ref_year,DeflatorTable,2,FALSE)/VLOOKUP(B64,DeflatorTable,2,FALSE)</f>
        <v>1.2112501494873942</v>
      </c>
      <c r="D64" s="1260" t="str">
        <f>+'HyARC Physical Property Data'!$H$85</f>
        <v>kg</v>
      </c>
      <c r="E64" s="901" t="s">
        <v>1052</v>
      </c>
      <c r="F64" s="260">
        <f>'HyARC Physical Property Data'!$E$45</f>
        <v>19.551069237418005</v>
      </c>
      <c r="G64" s="260">
        <f>'HyARC Physical Property Data'!$I$45</f>
        <v>20.588656379262464</v>
      </c>
      <c r="H64" s="1069">
        <v>1.3438238843289665</v>
      </c>
      <c r="I64" s="1069">
        <v>1.3438238843289665</v>
      </c>
      <c r="J64" s="1069">
        <v>1.3438238843289665</v>
      </c>
      <c r="K64" s="1069">
        <v>1.3438238843289665</v>
      </c>
      <c r="L64" s="1069">
        <v>1.3438238843289665</v>
      </c>
      <c r="M64" s="1069">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3">
        <f>4.71*($C$64)</f>
        <v>5.7049882040856268</v>
      </c>
      <c r="BS64" s="260">
        <f>4.78*($C$64)</f>
        <v>5.7897757145497444</v>
      </c>
      <c r="BT64" s="260">
        <f>4.85*($C$64)</f>
        <v>5.8745632250138611</v>
      </c>
      <c r="BU64" s="260">
        <f>4.92*($C$64)</f>
        <v>5.9593507354779796</v>
      </c>
      <c r="BV64" s="876">
        <f>4.99*($C$64)</f>
        <v>6.0441382459420971</v>
      </c>
      <c r="BW64" s="1398">
        <f>+BV64*BW$137/BV$137</f>
        <v>6.0586659764672328</v>
      </c>
      <c r="BX64" s="1398">
        <f t="shared" ref="BX64:CZ64" si="177">+BW64*BX$137/BW$137</f>
        <v>6.0732286259412112</v>
      </c>
      <c r="BY64" s="1398">
        <f t="shared" si="177"/>
        <v>6.0878262782954495</v>
      </c>
      <c r="BZ64" s="1398">
        <f t="shared" si="177"/>
        <v>6.1024590176630999</v>
      </c>
      <c r="CA64" s="1398">
        <f t="shared" si="177"/>
        <v>6.1171269283795393</v>
      </c>
      <c r="CB64" s="1398">
        <f t="shared" si="177"/>
        <v>6.1299667153690152</v>
      </c>
      <c r="CC64" s="1398">
        <f t="shared" si="177"/>
        <v>6.1428334529403346</v>
      </c>
      <c r="CD64" s="1398">
        <f t="shared" si="177"/>
        <v>6.155727197662495</v>
      </c>
      <c r="CE64" s="1398">
        <f t="shared" si="177"/>
        <v>6.1686480062232301</v>
      </c>
      <c r="CF64" s="1398">
        <f t="shared" si="177"/>
        <v>6.18159593542926</v>
      </c>
      <c r="CG64" s="1398">
        <f t="shared" si="177"/>
        <v>6.197524392005751</v>
      </c>
      <c r="CH64" s="1398">
        <f t="shared" si="177"/>
        <v>6.2134938923080965</v>
      </c>
      <c r="CI64" s="1398">
        <f t="shared" si="177"/>
        <v>6.229504542095909</v>
      </c>
      <c r="CJ64" s="1398">
        <f t="shared" si="177"/>
        <v>6.245556447401321</v>
      </c>
      <c r="CK64" s="1398">
        <f t="shared" si="177"/>
        <v>6.2616497145296828</v>
      </c>
      <c r="CL64" s="1398">
        <f t="shared" si="177"/>
        <v>6.2750522655841658</v>
      </c>
      <c r="CM64" s="1398">
        <f t="shared" si="177"/>
        <v>6.2884835037072264</v>
      </c>
      <c r="CN64" s="1398">
        <f t="shared" si="177"/>
        <v>6.3019434903011975</v>
      </c>
      <c r="CO64" s="1398">
        <f t="shared" si="177"/>
        <v>6.3154322868998385</v>
      </c>
      <c r="CP64" s="1398">
        <f t="shared" si="177"/>
        <v>6.3289499551686168</v>
      </c>
      <c r="CQ64" s="1398">
        <f t="shared" si="177"/>
        <v>6.3413225489579119</v>
      </c>
      <c r="CR64" s="1398">
        <f t="shared" si="177"/>
        <v>6.3537193301840116</v>
      </c>
      <c r="CS64" s="1398">
        <f t="shared" si="177"/>
        <v>6.3661403461314299</v>
      </c>
      <c r="CT64" s="1398">
        <f t="shared" si="177"/>
        <v>6.3785856441771198</v>
      </c>
      <c r="CU64" s="1398">
        <f t="shared" si="177"/>
        <v>6.3910552717906537</v>
      </c>
      <c r="CV64" s="1398">
        <f t="shared" si="177"/>
        <v>6.4057772391562917</v>
      </c>
      <c r="CW64" s="1398">
        <f t="shared" si="177"/>
        <v>6.4205331189689208</v>
      </c>
      <c r="CX64" s="1398">
        <f t="shared" si="177"/>
        <v>6.4353229893467718</v>
      </c>
      <c r="CY64" s="1398">
        <f t="shared" si="177"/>
        <v>6.4501469285880244</v>
      </c>
      <c r="CZ64" s="1398">
        <f t="shared" si="177"/>
        <v>6.4650050151712186</v>
      </c>
    </row>
    <row r="65" spans="1:104" ht="13" x14ac:dyDescent="0.3">
      <c r="A65" s="910" t="str">
        <f>'HyARC Physical Property Data'!A79</f>
        <v>Electric Utility Steam Coal</v>
      </c>
      <c r="B65" s="260">
        <v>2011</v>
      </c>
      <c r="C65" s="874">
        <f>VLOOKUP(ref_year,DeflatorTable,2,FALSE)/VLOOKUP(B65,DeflatorTable,2,FALSE)</f>
        <v>1.0784554773635862</v>
      </c>
      <c r="D65" s="1260" t="str">
        <f>+'HyARC Physical Property Data'!$H$79</f>
        <v>kg</v>
      </c>
      <c r="E65" s="901" t="s">
        <v>1052</v>
      </c>
      <c r="F65" s="260">
        <f>'HyARC Physical Property Data'!$E$42</f>
        <v>22.7322030001394</v>
      </c>
      <c r="G65" s="260">
        <f>'HyARC Physical Property Data'!$I$42</f>
        <v>23.967615189707661</v>
      </c>
      <c r="H65" s="1069">
        <v>1.6359074751967535</v>
      </c>
      <c r="I65" s="1069">
        <v>1.6359074751967535</v>
      </c>
      <c r="J65" s="1069">
        <v>1.6359074751967535</v>
      </c>
      <c r="K65" s="1069">
        <v>1.6778298347292193</v>
      </c>
      <c r="L65" s="1069">
        <v>1.8315470257945772</v>
      </c>
      <c r="M65" s="1069">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9">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9">
        <f>('AEO Data'!$C$28*BB65)</f>
        <v>3.8250538787983337</v>
      </c>
      <c r="BR65" s="873">
        <f t="shared" ref="BR65:BU68" si="181">($BV65-$BQ65)/5+BQ65</f>
        <v>3.8373166225762918</v>
      </c>
      <c r="BS65" s="260">
        <f t="shared" si="181"/>
        <v>3.8495793663542499</v>
      </c>
      <c r="BT65" s="260">
        <f t="shared" si="181"/>
        <v>3.861842110132208</v>
      </c>
      <c r="BU65" s="260">
        <f t="shared" si="181"/>
        <v>3.8741048539101661</v>
      </c>
      <c r="BV65" s="963">
        <f>('AEO Data'!$D$28*BQ65)</f>
        <v>3.8863675976881238</v>
      </c>
      <c r="BW65" s="1398">
        <f>+BV65*BW$138/BV$138</f>
        <v>3.8995072326040932</v>
      </c>
      <c r="BX65" s="1398">
        <f t="shared" ref="BX65:CZ65" si="182">+BW65*BX$138/BW$138</f>
        <v>3.9126912920376582</v>
      </c>
      <c r="BY65" s="1398">
        <f t="shared" si="182"/>
        <v>3.9259199261861233</v>
      </c>
      <c r="BZ65" s="1398">
        <f t="shared" si="182"/>
        <v>3.9391932857546061</v>
      </c>
      <c r="CA65" s="1398">
        <f t="shared" si="182"/>
        <v>3.9525115219577494</v>
      </c>
      <c r="CB65" s="1398">
        <f t="shared" si="182"/>
        <v>3.9638281829885078</v>
      </c>
      <c r="CC65" s="1398">
        <f t="shared" si="182"/>
        <v>3.9751772453965106</v>
      </c>
      <c r="CD65" s="1398">
        <f t="shared" si="182"/>
        <v>3.9865588019519875</v>
      </c>
      <c r="CE65" s="1398">
        <f t="shared" si="182"/>
        <v>3.9979729456907847</v>
      </c>
      <c r="CF65" s="1398">
        <f t="shared" si="182"/>
        <v>4.0094197699151231</v>
      </c>
      <c r="CG65" s="1398">
        <f t="shared" si="182"/>
        <v>4.0181594321320722</v>
      </c>
      <c r="CH65" s="1398">
        <f t="shared" si="182"/>
        <v>4.0269181449099625</v>
      </c>
      <c r="CI65" s="1398">
        <f t="shared" si="182"/>
        <v>4.0356959497748699</v>
      </c>
      <c r="CJ65" s="1398">
        <f t="shared" si="182"/>
        <v>4.0444928883433882</v>
      </c>
      <c r="CK65" s="1398">
        <f t="shared" si="182"/>
        <v>4.0533090023228242</v>
      </c>
      <c r="CL65" s="1398">
        <f t="shared" si="182"/>
        <v>4.0592855925032651</v>
      </c>
      <c r="CM65" s="1398">
        <f t="shared" si="182"/>
        <v>4.0652709951453678</v>
      </c>
      <c r="CN65" s="1398">
        <f t="shared" si="182"/>
        <v>4.0712652232430759</v>
      </c>
      <c r="CO65" s="1398">
        <f t="shared" si="182"/>
        <v>4.0772682898094939</v>
      </c>
      <c r="CP65" s="1398">
        <f t="shared" si="182"/>
        <v>4.0832802078769133</v>
      </c>
      <c r="CQ65" s="1398">
        <f t="shared" si="182"/>
        <v>4.0852935052227286</v>
      </c>
      <c r="CR65" s="1398">
        <f t="shared" si="182"/>
        <v>4.0873077952425705</v>
      </c>
      <c r="CS65" s="1398">
        <f t="shared" si="182"/>
        <v>4.0893230784258847</v>
      </c>
      <c r="CT65" s="1398">
        <f t="shared" si="182"/>
        <v>4.0913393552623587</v>
      </c>
      <c r="CU65" s="1398">
        <f t="shared" si="182"/>
        <v>4.0933566262419232</v>
      </c>
      <c r="CV65" s="1398">
        <f t="shared" si="182"/>
        <v>4.0904573728021916</v>
      </c>
      <c r="CW65" s="1398">
        <f t="shared" si="182"/>
        <v>4.0875601728533422</v>
      </c>
      <c r="CX65" s="1398">
        <f t="shared" si="182"/>
        <v>4.0846650249409233</v>
      </c>
      <c r="CY65" s="1398">
        <f t="shared" si="182"/>
        <v>4.081771927611511</v>
      </c>
      <c r="CZ65" s="1398">
        <f t="shared" si="182"/>
        <v>4.0788808794127149</v>
      </c>
    </row>
    <row r="66" spans="1:104" ht="13" x14ac:dyDescent="0.3">
      <c r="A66" s="877" t="str">
        <f>'HyARC Physical Property Data'!A76</f>
        <v>Commercial Electricity</v>
      </c>
      <c r="B66" s="260">
        <v>2011</v>
      </c>
      <c r="C66" s="874">
        <f t="shared" si="165"/>
        <v>1.0784554773635862</v>
      </c>
      <c r="D66" s="1260" t="str">
        <f>'HyARC Physical Property Data'!$H$76</f>
        <v>kWh</v>
      </c>
      <c r="E66" s="874" t="s">
        <v>1071</v>
      </c>
      <c r="F66" s="878"/>
      <c r="G66" s="874"/>
      <c r="H66" s="1069">
        <v>26.764062885406638</v>
      </c>
      <c r="I66" s="1069">
        <v>26.764062885406638</v>
      </c>
      <c r="J66" s="1069">
        <v>26.764062885406638</v>
      </c>
      <c r="K66" s="1069">
        <v>26.478521097803213</v>
      </c>
      <c r="L66" s="1069">
        <v>27.879470162766175</v>
      </c>
      <c r="M66" s="1069">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9">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9">
        <f>'AEO Data'!$C$33*BB66</f>
        <v>33.192415256010214</v>
      </c>
      <c r="BR66" s="873">
        <f t="shared" si="181"/>
        <v>33.170065135939467</v>
      </c>
      <c r="BS66" s="260">
        <f t="shared" si="181"/>
        <v>33.147715015868719</v>
      </c>
      <c r="BT66" s="260">
        <f t="shared" si="181"/>
        <v>33.125364895797972</v>
      </c>
      <c r="BU66" s="260">
        <f t="shared" si="181"/>
        <v>33.103014775727225</v>
      </c>
      <c r="BV66" s="963">
        <f>'AEO Data'!$D$33*BQ66</f>
        <v>33.080664655656477</v>
      </c>
      <c r="BW66" s="1398">
        <f>+BV66*BW$139/BV$139</f>
        <v>33.066099114275488</v>
      </c>
      <c r="BX66" s="1398">
        <f t="shared" ref="BX66:CZ66" si="185">+BW66*BX$139/BW$139</f>
        <v>33.051539986157294</v>
      </c>
      <c r="BY66" s="1398">
        <f t="shared" si="185"/>
        <v>33.0369872684781</v>
      </c>
      <c r="BZ66" s="1398">
        <f t="shared" si="185"/>
        <v>33.022440958415373</v>
      </c>
      <c r="CA66" s="1398">
        <f t="shared" si="185"/>
        <v>33.007901053147819</v>
      </c>
      <c r="CB66" s="1398">
        <f t="shared" si="185"/>
        <v>32.98146223987488</v>
      </c>
      <c r="CC66" s="1398">
        <f t="shared" si="185"/>
        <v>32.955044603678495</v>
      </c>
      <c r="CD66" s="1398">
        <f t="shared" si="185"/>
        <v>32.928648127596141</v>
      </c>
      <c r="CE66" s="1398">
        <f t="shared" si="185"/>
        <v>32.902272794678915</v>
      </c>
      <c r="CF66" s="1398">
        <f t="shared" si="185"/>
        <v>32.875918587991457</v>
      </c>
      <c r="CG66" s="1398">
        <f t="shared" si="185"/>
        <v>32.839614191376278</v>
      </c>
      <c r="CH66" s="1398">
        <f t="shared" si="185"/>
        <v>32.803349885175919</v>
      </c>
      <c r="CI66" s="1398">
        <f t="shared" si="185"/>
        <v>32.767125625119114</v>
      </c>
      <c r="CJ66" s="1398">
        <f t="shared" si="185"/>
        <v>32.730941366983494</v>
      </c>
      <c r="CK66" s="1398">
        <f t="shared" si="185"/>
        <v>32.69479706659552</v>
      </c>
      <c r="CL66" s="1398">
        <f t="shared" si="185"/>
        <v>32.65539094584242</v>
      </c>
      <c r="CM66" s="1398">
        <f t="shared" si="185"/>
        <v>32.616032320180047</v>
      </c>
      <c r="CN66" s="1398">
        <f t="shared" si="185"/>
        <v>32.576721132363886</v>
      </c>
      <c r="CO66" s="1398">
        <f t="shared" si="185"/>
        <v>32.537457325218448</v>
      </c>
      <c r="CP66" s="1398">
        <f t="shared" si="185"/>
        <v>32.498240841637141</v>
      </c>
      <c r="CQ66" s="1398">
        <f t="shared" si="185"/>
        <v>32.452817913303896</v>
      </c>
      <c r="CR66" s="1398">
        <f t="shared" si="185"/>
        <v>32.407458472789216</v>
      </c>
      <c r="CS66" s="1398">
        <f t="shared" si="185"/>
        <v>32.362162431355912</v>
      </c>
      <c r="CT66" s="1398">
        <f t="shared" si="185"/>
        <v>32.31692970039083</v>
      </c>
      <c r="CU66" s="1398">
        <f t="shared" si="185"/>
        <v>32.271760191404653</v>
      </c>
      <c r="CV66" s="1398">
        <f t="shared" si="185"/>
        <v>32.22766670904133</v>
      </c>
      <c r="CW66" s="1398">
        <f t="shared" si="185"/>
        <v>32.183633472390525</v>
      </c>
      <c r="CX66" s="1398">
        <f t="shared" si="185"/>
        <v>32.139660399137448</v>
      </c>
      <c r="CY66" s="1398">
        <f t="shared" si="185"/>
        <v>32.09574740707977</v>
      </c>
      <c r="CZ66" s="1398">
        <f t="shared" si="185"/>
        <v>32.051894414127482</v>
      </c>
    </row>
    <row r="67" spans="1:104" ht="13" x14ac:dyDescent="0.3">
      <c r="A67" s="877" t="str">
        <f>'HyARC Physical Property Data'!A77</f>
        <v>Industrial Electricity</v>
      </c>
      <c r="B67" s="260">
        <v>2011</v>
      </c>
      <c r="C67" s="874">
        <f t="shared" si="165"/>
        <v>1.0784554773635862</v>
      </c>
      <c r="D67" s="1248" t="str">
        <f>'HyARC Physical Property Data'!$H$77</f>
        <v>kWh</v>
      </c>
      <c r="E67" s="874" t="s">
        <v>1071</v>
      </c>
      <c r="F67" s="885"/>
      <c r="G67" s="222"/>
      <c r="H67" s="1072">
        <v>17.365230901091444</v>
      </c>
      <c r="I67" s="1072">
        <v>17.365230901091444</v>
      </c>
      <c r="J67" s="1072">
        <v>17.365230901091444</v>
      </c>
      <c r="K67" s="1072">
        <v>17.575551809904887</v>
      </c>
      <c r="L67" s="1072">
        <v>19.530121721487372</v>
      </c>
      <c r="M67" s="1072">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9">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9">
        <f>'AEO Data'!$C$33*BB67</f>
        <v>23.45233216522044</v>
      </c>
      <c r="BR67" s="873">
        <f t="shared" si="181"/>
        <v>23.436540532228719</v>
      </c>
      <c r="BS67" s="260">
        <f t="shared" si="181"/>
        <v>23.420748899236997</v>
      </c>
      <c r="BT67" s="260">
        <f t="shared" si="181"/>
        <v>23.404957266245276</v>
      </c>
      <c r="BU67" s="260">
        <f t="shared" si="181"/>
        <v>23.389165633253555</v>
      </c>
      <c r="BV67" s="963">
        <f>'AEO Data'!$D$33*BQ67</f>
        <v>23.373374000261833</v>
      </c>
      <c r="BW67" s="1398">
        <f>+BV67*BW$140/BV$140</f>
        <v>23.380436490829396</v>
      </c>
      <c r="BX67" s="1398">
        <f t="shared" ref="BX67:CZ67" si="188">+BW67*BX$140/BW$140</f>
        <v>23.387501115396649</v>
      </c>
      <c r="BY67" s="1398">
        <f t="shared" si="188"/>
        <v>23.394567874608409</v>
      </c>
      <c r="BZ67" s="1398">
        <f t="shared" si="188"/>
        <v>23.401636769109679</v>
      </c>
      <c r="CA67" s="1398">
        <f t="shared" si="188"/>
        <v>23.408707799545656</v>
      </c>
      <c r="CB67" s="1398">
        <f t="shared" si="188"/>
        <v>23.406060454578945</v>
      </c>
      <c r="CC67" s="1398">
        <f t="shared" si="188"/>
        <v>23.403413409006607</v>
      </c>
      <c r="CD67" s="1398">
        <f t="shared" si="188"/>
        <v>23.40076666279478</v>
      </c>
      <c r="CE67" s="1398">
        <f t="shared" si="188"/>
        <v>23.398120215909611</v>
      </c>
      <c r="CF67" s="1398">
        <f t="shared" si="188"/>
        <v>23.395474068317245</v>
      </c>
      <c r="CG67" s="1398">
        <f t="shared" si="188"/>
        <v>23.384861674186023</v>
      </c>
      <c r="CH67" s="1398">
        <f t="shared" si="188"/>
        <v>23.374254093930716</v>
      </c>
      <c r="CI67" s="1398">
        <f t="shared" si="188"/>
        <v>23.363651325367709</v>
      </c>
      <c r="CJ67" s="1398">
        <f t="shared" si="188"/>
        <v>23.353053366314384</v>
      </c>
      <c r="CK67" s="1398">
        <f t="shared" si="188"/>
        <v>23.342460214589092</v>
      </c>
      <c r="CL67" s="1398">
        <f t="shared" si="188"/>
        <v>23.329464593323419</v>
      </c>
      <c r="CM67" s="1398">
        <f t="shared" si="188"/>
        <v>23.316476207206502</v>
      </c>
      <c r="CN67" s="1398">
        <f t="shared" si="188"/>
        <v>23.303495052210266</v>
      </c>
      <c r="CO67" s="1398">
        <f t="shared" si="188"/>
        <v>23.290521124308881</v>
      </c>
      <c r="CP67" s="1398">
        <f t="shared" si="188"/>
        <v>23.277554419478744</v>
      </c>
      <c r="CQ67" s="1398">
        <f t="shared" si="188"/>
        <v>23.259789388655847</v>
      </c>
      <c r="CR67" s="1398">
        <f t="shared" si="188"/>
        <v>23.242037915800186</v>
      </c>
      <c r="CS67" s="1398">
        <f t="shared" si="188"/>
        <v>23.224299990564553</v>
      </c>
      <c r="CT67" s="1398">
        <f t="shared" si="188"/>
        <v>23.206575602609636</v>
      </c>
      <c r="CU67" s="1398">
        <f t="shared" si="188"/>
        <v>23.188864741604011</v>
      </c>
      <c r="CV67" s="1398">
        <f t="shared" si="188"/>
        <v>23.17221317404951</v>
      </c>
      <c r="CW67" s="1398">
        <f t="shared" si="188"/>
        <v>23.155573563729877</v>
      </c>
      <c r="CX67" s="1398">
        <f t="shared" si="188"/>
        <v>23.138945902058804</v>
      </c>
      <c r="CY67" s="1398">
        <f t="shared" si="188"/>
        <v>23.122330180456149</v>
      </c>
      <c r="CZ67" s="1398">
        <f t="shared" si="188"/>
        <v>23.105726390347936</v>
      </c>
    </row>
    <row r="68" spans="1:104" ht="13.5" thickBot="1" x14ac:dyDescent="0.35">
      <c r="A68" s="879" t="str">
        <f>'HyARC Physical Property Data'!A78</f>
        <v>Residential Electricity</v>
      </c>
      <c r="B68" s="880">
        <v>2011</v>
      </c>
      <c r="C68" s="881">
        <f t="shared" si="165"/>
        <v>1.0784554773635862</v>
      </c>
      <c r="D68" s="1249" t="str">
        <f>'HyARC Physical Property Data'!$H$78</f>
        <v>kWh</v>
      </c>
      <c r="E68" s="881" t="s">
        <v>1071</v>
      </c>
      <c r="F68" s="886"/>
      <c r="G68" s="569"/>
      <c r="H68" s="1073">
        <v>29.433773538887177</v>
      </c>
      <c r="I68" s="1073">
        <v>29.433773538887177</v>
      </c>
      <c r="J68" s="1073">
        <v>29.433773538887177</v>
      </c>
      <c r="K68" s="1073">
        <v>29.415861064534436</v>
      </c>
      <c r="L68" s="1073">
        <v>30.500905105766051</v>
      </c>
      <c r="M68" s="1073">
        <v>30.574559070308627</v>
      </c>
      <c r="N68" s="569">
        <f t="shared" si="186"/>
        <v>37.231327558403592</v>
      </c>
      <c r="O68" s="569">
        <f t="shared" si="183"/>
        <v>37.029713542276902</v>
      </c>
      <c r="P68" s="569">
        <f t="shared" si="183"/>
        <v>35.904219072357151</v>
      </c>
      <c r="Q68" s="569">
        <f t="shared" si="183"/>
        <v>35.115964100941852</v>
      </c>
      <c r="R68" s="569">
        <f t="shared" si="183"/>
        <v>35.969434353528804</v>
      </c>
      <c r="S68" s="569">
        <f t="shared" si="183"/>
        <v>36.116413815172251</v>
      </c>
      <c r="T68" s="569">
        <f t="shared" si="183"/>
        <v>36.717853336521245</v>
      </c>
      <c r="U68" s="569">
        <f t="shared" si="183"/>
        <v>37.019523216471292</v>
      </c>
      <c r="V68" s="569">
        <f t="shared" si="183"/>
        <v>36.994572070547008</v>
      </c>
      <c r="W68" s="569">
        <f t="shared" si="183"/>
        <v>36.749885621109897</v>
      </c>
      <c r="X68" s="569">
        <f t="shared" si="183"/>
        <v>36.78085131323143</v>
      </c>
      <c r="Y68" s="569">
        <f t="shared" si="183"/>
        <v>36.866643524911183</v>
      </c>
      <c r="Z68" s="569">
        <f t="shared" si="183"/>
        <v>36.980382831831335</v>
      </c>
      <c r="AA68" s="569">
        <f t="shared" si="183"/>
        <v>37.011953537475684</v>
      </c>
      <c r="AB68" s="569">
        <f t="shared" si="183"/>
        <v>37.116621955375727</v>
      </c>
      <c r="AC68" s="569">
        <f t="shared" si="183"/>
        <v>37.450882759851702</v>
      </c>
      <c r="AD68" s="569">
        <f t="shared" si="183"/>
        <v>37.642585770141416</v>
      </c>
      <c r="AE68" s="569">
        <f t="shared" si="183"/>
        <v>37.813937247117813</v>
      </c>
      <c r="AF68" s="569">
        <f t="shared" si="183"/>
        <v>37.937612364350912</v>
      </c>
      <c r="AG68" s="569">
        <f t="shared" si="183"/>
        <v>38.109761898380555</v>
      </c>
      <c r="AH68" s="569">
        <f t="shared" si="183"/>
        <v>38.292401568838507</v>
      </c>
      <c r="AI68" s="569">
        <f t="shared" si="183"/>
        <v>38.52845390372385</v>
      </c>
      <c r="AJ68" s="569">
        <f t="shared" si="183"/>
        <v>38.699570277406174</v>
      </c>
      <c r="AK68" s="569">
        <f t="shared" si="183"/>
        <v>38.991412192591014</v>
      </c>
      <c r="AL68" s="569">
        <f t="shared" si="183"/>
        <v>39.480914506122524</v>
      </c>
      <c r="AM68" s="569">
        <f t="shared" si="183"/>
        <v>39.991294639240323</v>
      </c>
      <c r="AN68" s="569">
        <f t="shared" si="183"/>
        <v>40.444338686904082</v>
      </c>
      <c r="AO68" s="569">
        <f t="shared" si="183"/>
        <v>40.811228161847694</v>
      </c>
      <c r="AP68" s="569">
        <f t="shared" si="183"/>
        <v>41.155489483965269</v>
      </c>
      <c r="AQ68" s="569">
        <f t="shared" si="183"/>
        <v>41.648278929791786</v>
      </c>
      <c r="AR68" s="569">
        <f t="shared" si="183"/>
        <v>41.89880413718334</v>
      </c>
      <c r="AS68" s="880">
        <f t="shared" ref="AS68:BA68" si="189">($BB68-$AR68)/10+AR68</f>
        <v>41.608361021177913</v>
      </c>
      <c r="AT68" s="880">
        <f t="shared" si="189"/>
        <v>41.317917905172486</v>
      </c>
      <c r="AU68" s="880">
        <f t="shared" si="189"/>
        <v>41.027474789167059</v>
      </c>
      <c r="AV68" s="880">
        <f t="shared" si="189"/>
        <v>40.737031673161631</v>
      </c>
      <c r="AW68" s="880">
        <f t="shared" si="189"/>
        <v>40.446588557156204</v>
      </c>
      <c r="AX68" s="880">
        <f t="shared" si="189"/>
        <v>40.156145441150777</v>
      </c>
      <c r="AY68" s="880">
        <f t="shared" si="189"/>
        <v>39.86570232514535</v>
      </c>
      <c r="AZ68" s="880">
        <f t="shared" si="189"/>
        <v>39.575259209139922</v>
      </c>
      <c r="BA68" s="880">
        <f t="shared" si="189"/>
        <v>39.284816093134495</v>
      </c>
      <c r="BB68" s="968">
        <f>'AEO Data'!$B$33*AM68</f>
        <v>38.994372977129068</v>
      </c>
      <c r="BC68" s="880">
        <f>($BQ68-$BB68)/15+BB68</f>
        <v>39.017092027346592</v>
      </c>
      <c r="BD68" s="880">
        <f t="shared" si="180"/>
        <v>39.039811077564117</v>
      </c>
      <c r="BE68" s="880">
        <f t="shared" si="180"/>
        <v>39.062530127781642</v>
      </c>
      <c r="BF68" s="880">
        <f t="shared" si="180"/>
        <v>39.085249177999167</v>
      </c>
      <c r="BG68" s="880">
        <f t="shared" si="180"/>
        <v>39.107968228216691</v>
      </c>
      <c r="BH68" s="880">
        <f t="shared" si="180"/>
        <v>39.130687278434216</v>
      </c>
      <c r="BI68" s="880">
        <f t="shared" si="180"/>
        <v>39.153406328651741</v>
      </c>
      <c r="BJ68" s="880">
        <f t="shared" si="180"/>
        <v>39.176125378869266</v>
      </c>
      <c r="BK68" s="880">
        <f t="shared" si="180"/>
        <v>39.19884442908679</v>
      </c>
      <c r="BL68" s="880">
        <f t="shared" si="180"/>
        <v>39.221563479304315</v>
      </c>
      <c r="BM68" s="880">
        <f t="shared" si="180"/>
        <v>39.24428252952184</v>
      </c>
      <c r="BN68" s="880">
        <f t="shared" si="180"/>
        <v>39.267001579739365</v>
      </c>
      <c r="BO68" s="880">
        <f t="shared" si="180"/>
        <v>39.289720629956889</v>
      </c>
      <c r="BP68" s="880">
        <f t="shared" si="180"/>
        <v>39.312439680174414</v>
      </c>
      <c r="BQ68" s="968">
        <f>'AEO Data'!$C$33*BB68</f>
        <v>39.335158730391903</v>
      </c>
      <c r="BR68" s="976">
        <f t="shared" si="181"/>
        <v>39.30867239265946</v>
      </c>
      <c r="BS68" s="880">
        <f t="shared" si="181"/>
        <v>39.282186054927017</v>
      </c>
      <c r="BT68" s="880">
        <f t="shared" si="181"/>
        <v>39.255699717194574</v>
      </c>
      <c r="BU68" s="880">
        <f t="shared" si="181"/>
        <v>39.229213379462131</v>
      </c>
      <c r="BV68" s="969">
        <f>'AEO Data'!$D$33*BQ68</f>
        <v>39.202727041729688</v>
      </c>
      <c r="BW68" s="1398">
        <f>+BV68*BW$141/BV$141</f>
        <v>39.185465933196419</v>
      </c>
      <c r="BX68" s="1398">
        <f t="shared" ref="BX68:CZ68" si="190">+BW68*BX$141/BW$141</f>
        <v>39.168212424794326</v>
      </c>
      <c r="BY68" s="1398">
        <f t="shared" si="190"/>
        <v>39.150966513177039</v>
      </c>
      <c r="BZ68" s="1398">
        <f t="shared" si="190"/>
        <v>39.133728194999662</v>
      </c>
      <c r="CA68" s="1398">
        <f t="shared" si="190"/>
        <v>39.11649746691878</v>
      </c>
      <c r="CB68" s="1398">
        <f t="shared" si="190"/>
        <v>39.085165763313817</v>
      </c>
      <c r="CC68" s="1398">
        <f t="shared" si="190"/>
        <v>39.053859155914154</v>
      </c>
      <c r="CD68" s="1398">
        <f t="shared" si="190"/>
        <v>39.022577624618116</v>
      </c>
      <c r="CE68" s="1398">
        <f t="shared" si="190"/>
        <v>38.991321149340131</v>
      </c>
      <c r="CF68" s="1398">
        <f t="shared" si="190"/>
        <v>38.960089710010728</v>
      </c>
      <c r="CG68" s="1398">
        <f t="shared" si="190"/>
        <v>38.917066652108652</v>
      </c>
      <c r="CH68" s="1398">
        <f t="shared" si="190"/>
        <v>38.874091103940906</v>
      </c>
      <c r="CI68" s="1398">
        <f t="shared" si="190"/>
        <v>38.831163013043174</v>
      </c>
      <c r="CJ68" s="1398">
        <f t="shared" si="190"/>
        <v>38.788282327009078</v>
      </c>
      <c r="CK68" s="1398">
        <f t="shared" si="190"/>
        <v>38.745448993490129</v>
      </c>
      <c r="CL68" s="1398">
        <f t="shared" si="190"/>
        <v>38.698750191886909</v>
      </c>
      <c r="CM68" s="1398">
        <f t="shared" si="190"/>
        <v>38.652107675037847</v>
      </c>
      <c r="CN68" s="1398">
        <f t="shared" si="190"/>
        <v>38.605521375104502</v>
      </c>
      <c r="CO68" s="1398">
        <f t="shared" si="190"/>
        <v>38.558991224330207</v>
      </c>
      <c r="CP68" s="1398">
        <f t="shared" si="190"/>
        <v>38.512517155039959</v>
      </c>
      <c r="CQ68" s="1398">
        <f t="shared" si="190"/>
        <v>38.45868804732946</v>
      </c>
      <c r="CR68" s="1398">
        <f t="shared" si="190"/>
        <v>38.404934176789915</v>
      </c>
      <c r="CS68" s="1398">
        <f t="shared" si="190"/>
        <v>38.351255438262001</v>
      </c>
      <c r="CT68" s="1398">
        <f t="shared" si="190"/>
        <v>38.297651726733392</v>
      </c>
      <c r="CU68" s="1398">
        <f t="shared" si="190"/>
        <v>38.244122937338538</v>
      </c>
      <c r="CV68" s="1398">
        <f t="shared" si="190"/>
        <v>38.191869309081618</v>
      </c>
      <c r="CW68" s="1398">
        <f t="shared" si="190"/>
        <v>38.139687075890301</v>
      </c>
      <c r="CX68" s="1398">
        <f t="shared" si="190"/>
        <v>38.087576140216228</v>
      </c>
      <c r="CY68" s="1398">
        <f t="shared" si="190"/>
        <v>38.03553640464434</v>
      </c>
      <c r="CZ68" s="1398">
        <f t="shared" si="190"/>
        <v>37.983567771892652</v>
      </c>
    </row>
    <row r="69" spans="1:104" ht="13" thickTop="1" x14ac:dyDescent="0.25">
      <c r="D69" s="1096"/>
    </row>
    <row r="70" spans="1:104" ht="13" thickBot="1" x14ac:dyDescent="0.3">
      <c r="D70" s="1096"/>
      <c r="E70" s="975"/>
    </row>
    <row r="71" spans="1:104" s="1053" customFormat="1" ht="13" x14ac:dyDescent="0.3">
      <c r="A71" s="1049" t="s">
        <v>1112</v>
      </c>
      <c r="B71" s="1050"/>
      <c r="C71" s="1051"/>
      <c r="D71" s="1252"/>
      <c r="E71" s="1051"/>
      <c r="F71" s="1050"/>
      <c r="G71" s="1050"/>
      <c r="H71" s="1050"/>
      <c r="I71" s="1050"/>
      <c r="J71" s="1050"/>
      <c r="K71" s="1050"/>
      <c r="L71" s="1050"/>
      <c r="M71" s="1050"/>
      <c r="N71" s="1050"/>
      <c r="O71" s="1050"/>
      <c r="P71" s="1050"/>
      <c r="Q71" s="1050"/>
      <c r="R71" s="1050"/>
      <c r="S71" s="1050"/>
      <c r="T71" s="1050"/>
      <c r="U71" s="1050"/>
      <c r="V71" s="1050"/>
      <c r="W71" s="1050"/>
      <c r="X71" s="1050"/>
      <c r="Y71" s="1050"/>
      <c r="Z71" s="1050"/>
      <c r="AA71" s="1050"/>
      <c r="AB71" s="1050"/>
      <c r="AC71" s="1050"/>
      <c r="AD71" s="1050"/>
      <c r="AE71" s="1050"/>
      <c r="AF71" s="1050"/>
      <c r="AG71" s="1050"/>
      <c r="AH71" s="1050"/>
      <c r="AI71" s="1050"/>
      <c r="AJ71" s="1050"/>
      <c r="AK71" s="1050"/>
      <c r="AL71" s="1050"/>
      <c r="AM71" s="1050"/>
      <c r="AN71" s="1050"/>
      <c r="AO71" s="1050"/>
      <c r="AP71" s="1050"/>
      <c r="AQ71" s="1050"/>
      <c r="AR71" s="1050"/>
      <c r="AS71" s="1050"/>
      <c r="AT71" s="1050"/>
      <c r="AU71" s="1050"/>
      <c r="AV71" s="1050"/>
      <c r="AW71" s="1050"/>
      <c r="AX71" s="1050"/>
      <c r="AY71" s="1050"/>
      <c r="AZ71" s="1050"/>
      <c r="BA71" s="1050"/>
      <c r="BB71" s="1050"/>
      <c r="BC71" s="1050"/>
      <c r="BD71" s="1050"/>
      <c r="BE71" s="1050"/>
      <c r="BF71" s="1050"/>
      <c r="BG71" s="1050"/>
      <c r="BH71" s="1050"/>
      <c r="BI71" s="1050"/>
      <c r="BJ71" s="1050"/>
      <c r="BK71" s="1050"/>
      <c r="BL71" s="1050"/>
      <c r="BM71" s="1050"/>
      <c r="BN71" s="1050"/>
      <c r="BO71" s="1050"/>
      <c r="BP71" s="1050"/>
      <c r="BQ71" s="1050"/>
      <c r="BR71" s="1050"/>
      <c r="BS71" s="1050"/>
      <c r="BT71" s="1050"/>
      <c r="BU71" s="1050"/>
      <c r="BV71" s="1052"/>
    </row>
    <row r="72" spans="1:104" s="1053" customFormat="1" ht="13" x14ac:dyDescent="0.3">
      <c r="A72" s="1054" t="s">
        <v>1109</v>
      </c>
      <c r="B72" s="1055"/>
      <c r="C72" s="1056"/>
      <c r="D72" s="1253"/>
      <c r="E72" s="1056"/>
      <c r="F72" s="1055"/>
      <c r="G72" s="1055"/>
      <c r="H72" s="1055"/>
      <c r="I72" s="1055"/>
      <c r="J72" s="1055"/>
      <c r="K72" s="1055"/>
      <c r="L72" s="1055"/>
      <c r="M72" s="1055"/>
      <c r="N72" s="1055"/>
      <c r="O72" s="1055"/>
      <c r="P72" s="1055"/>
      <c r="Q72" s="1055"/>
      <c r="R72" s="1055"/>
      <c r="S72" s="1055"/>
      <c r="T72" s="1055"/>
      <c r="U72" s="1055"/>
      <c r="V72" s="1055"/>
      <c r="W72" s="1055"/>
      <c r="X72" s="1055"/>
      <c r="Y72" s="1055"/>
      <c r="Z72" s="1055"/>
      <c r="AA72" s="1055"/>
      <c r="AB72" s="1055"/>
      <c r="AC72" s="1055"/>
      <c r="AD72" s="1055"/>
      <c r="AE72" s="1055"/>
      <c r="AF72" s="1055"/>
      <c r="AG72" s="1055"/>
      <c r="AH72" s="1055"/>
      <c r="AI72" s="1055"/>
      <c r="AJ72" s="1055"/>
      <c r="AK72" s="1055"/>
      <c r="AL72" s="1055"/>
      <c r="AM72" s="1055"/>
      <c r="AN72" s="1055"/>
      <c r="AO72" s="1055"/>
      <c r="AP72" s="1055"/>
      <c r="AQ72" s="1055"/>
      <c r="AR72" s="1055"/>
      <c r="AS72" s="1055"/>
      <c r="AT72" s="1055"/>
      <c r="AU72" s="1055"/>
      <c r="AV72" s="1055"/>
      <c r="AW72" s="1055"/>
      <c r="AX72" s="1055"/>
      <c r="AY72" s="1055"/>
      <c r="AZ72" s="1055"/>
      <c r="BA72" s="1055"/>
      <c r="BB72" s="1055"/>
      <c r="BC72" s="1055"/>
      <c r="BD72" s="1055"/>
      <c r="BE72" s="1055"/>
      <c r="BF72" s="1055"/>
      <c r="BG72" s="1055"/>
      <c r="BH72" s="1055"/>
      <c r="BI72" s="1055"/>
      <c r="BJ72" s="1055"/>
      <c r="BK72" s="1055"/>
      <c r="BL72" s="1055"/>
      <c r="BM72" s="1055"/>
      <c r="BN72" s="1055"/>
      <c r="BO72" s="1055"/>
      <c r="BP72" s="1055"/>
      <c r="BQ72" s="1055"/>
      <c r="BR72" s="1055"/>
      <c r="BS72" s="1055"/>
      <c r="BT72" s="1055"/>
      <c r="BU72" s="1055"/>
      <c r="BV72" s="1057"/>
    </row>
    <row r="73" spans="1:104" s="1053" customFormat="1" x14ac:dyDescent="0.25">
      <c r="A73" s="1058"/>
      <c r="B73" s="1055"/>
      <c r="C73" s="1056"/>
      <c r="D73" s="1253"/>
      <c r="E73" s="1074"/>
      <c r="F73" s="1055"/>
      <c r="G73" s="1055"/>
      <c r="H73" s="1055"/>
      <c r="I73" s="1055"/>
      <c r="J73" s="1055"/>
      <c r="K73" s="1055"/>
      <c r="L73" s="1055"/>
      <c r="M73" s="1055"/>
      <c r="N73" s="1055"/>
      <c r="O73" s="1055"/>
      <c r="P73" s="1055"/>
      <c r="Q73" s="1055"/>
      <c r="R73" s="1055"/>
      <c r="S73" s="1055"/>
      <c r="T73" s="1055"/>
      <c r="U73" s="1055"/>
      <c r="V73" s="1055"/>
      <c r="W73" s="1055"/>
      <c r="X73" s="1055"/>
      <c r="Y73" s="1055"/>
      <c r="Z73" s="1055"/>
      <c r="AA73" s="1055"/>
      <c r="AB73" s="1055"/>
      <c r="AC73" s="1055"/>
      <c r="AD73" s="1055"/>
      <c r="AE73" s="1055"/>
      <c r="AF73" s="1055"/>
      <c r="AG73" s="1055"/>
      <c r="AH73" s="1055"/>
      <c r="AI73" s="1055"/>
      <c r="AJ73" s="1055"/>
      <c r="AK73" s="1055"/>
      <c r="AL73" s="1055"/>
      <c r="AM73" s="1055"/>
      <c r="AN73" s="1055"/>
      <c r="AO73" s="1055"/>
      <c r="AP73" s="1055"/>
      <c r="AQ73" s="1055"/>
      <c r="AR73" s="1055"/>
      <c r="AS73" s="1055"/>
      <c r="AT73" s="1055"/>
      <c r="AU73" s="1055"/>
      <c r="AV73" s="1055"/>
      <c r="AW73" s="1055"/>
      <c r="AX73" s="1055"/>
      <c r="AY73" s="1055"/>
      <c r="AZ73" s="1055"/>
      <c r="BA73" s="1055"/>
      <c r="BB73" s="1055"/>
      <c r="BC73" s="1055"/>
      <c r="BD73" s="1055"/>
      <c r="BE73" s="1055"/>
      <c r="BF73" s="1055"/>
      <c r="BG73" s="1055"/>
      <c r="BH73" s="1055"/>
      <c r="BI73" s="1055"/>
      <c r="BJ73" s="1055"/>
      <c r="BK73" s="1055"/>
      <c r="BL73" s="1055"/>
      <c r="BM73" s="1055"/>
      <c r="BN73" s="1055"/>
      <c r="BO73" s="1055"/>
      <c r="BP73" s="1055"/>
      <c r="BQ73" s="1055"/>
      <c r="BR73" s="1055"/>
      <c r="BS73" s="1055"/>
      <c r="BT73" s="1055"/>
      <c r="BU73" s="1055"/>
      <c r="BV73" s="1057"/>
    </row>
    <row r="74" spans="1:104" s="1053" customFormat="1" x14ac:dyDescent="0.25">
      <c r="A74" s="1058" t="s">
        <v>681</v>
      </c>
      <c r="B74" s="1055"/>
      <c r="C74" s="1056"/>
      <c r="D74" s="1253"/>
      <c r="E74" s="1056"/>
      <c r="F74" s="1055"/>
      <c r="G74" s="1055"/>
      <c r="H74" s="1055"/>
      <c r="I74" s="1055"/>
      <c r="J74" s="1055"/>
      <c r="K74" s="1055"/>
      <c r="L74" s="1055"/>
      <c r="M74" s="1055"/>
      <c r="N74" s="1059">
        <v>11.359373</v>
      </c>
      <c r="O74" s="1059">
        <v>10.802343</v>
      </c>
      <c r="P74" s="1059">
        <v>10.473763999999999</v>
      </c>
      <c r="Q74" s="1059">
        <v>10.501935</v>
      </c>
      <c r="R74" s="1059">
        <v>10.334021999999999</v>
      </c>
      <c r="S74" s="1059">
        <v>10.229792</v>
      </c>
      <c r="T74" s="1059">
        <v>10.748874000000001</v>
      </c>
      <c r="U74" s="1059">
        <v>11.092333999999999</v>
      </c>
      <c r="V74" s="1059">
        <v>11.515472000000001</v>
      </c>
      <c r="W74" s="1059">
        <v>11.774895000000001</v>
      </c>
      <c r="X74" s="1059">
        <v>11.996413</v>
      </c>
      <c r="Y74" s="1059">
        <v>12.209519999999999</v>
      </c>
      <c r="Z74" s="1059">
        <v>12.479982</v>
      </c>
      <c r="AA74" s="1059">
        <v>12.729352</v>
      </c>
      <c r="AB74" s="1059">
        <v>12.853237999999999</v>
      </c>
      <c r="AC74" s="1059">
        <v>13.018173000000001</v>
      </c>
      <c r="AD74" s="1059">
        <v>13.212711000000001</v>
      </c>
      <c r="AE74" s="1059">
        <v>13.366512</v>
      </c>
      <c r="AF74" s="1059">
        <v>13.603230999999999</v>
      </c>
      <c r="AG74" s="1059">
        <v>13.784504</v>
      </c>
      <c r="AH74" s="1059">
        <v>13.991047</v>
      </c>
      <c r="AI74" s="1059">
        <v>14.231726</v>
      </c>
      <c r="AJ74" s="1059">
        <v>14.577776</v>
      </c>
      <c r="AK74" s="1059">
        <v>14.956607999999999</v>
      </c>
      <c r="AL74" s="1059">
        <v>15.347963</v>
      </c>
      <c r="AM74" s="1059">
        <v>15.708157999999999</v>
      </c>
      <c r="AN74" s="1059">
        <v>16.169785000000001</v>
      </c>
      <c r="AO74" s="1059">
        <v>16.471478000000001</v>
      </c>
      <c r="AP74" s="1059">
        <v>16.949921</v>
      </c>
      <c r="AQ74" s="1059">
        <v>17.380462999999999</v>
      </c>
      <c r="AR74" s="1059">
        <v>17.673891000000001</v>
      </c>
      <c r="AS74" s="1055"/>
      <c r="AT74" s="1055"/>
      <c r="AU74" s="1055"/>
      <c r="AV74" s="1055"/>
      <c r="AW74" s="1055"/>
      <c r="AX74" s="1055"/>
      <c r="AY74" s="1055"/>
      <c r="AZ74" s="1055"/>
      <c r="BA74" s="1055"/>
      <c r="BB74" s="1055"/>
      <c r="BC74" s="1055"/>
      <c r="BD74" s="1055"/>
      <c r="BE74" s="1055"/>
      <c r="BF74" s="1055"/>
      <c r="BG74" s="1055"/>
      <c r="BH74" s="1055"/>
      <c r="BI74" s="1055"/>
      <c r="BJ74" s="1055"/>
      <c r="BK74" s="1055"/>
      <c r="BL74" s="1055"/>
      <c r="BM74" s="1055"/>
      <c r="BN74" s="1055"/>
      <c r="BO74" s="1055"/>
      <c r="BP74" s="1055"/>
      <c r="BQ74" s="1055"/>
      <c r="BR74" s="1055"/>
      <c r="BS74" s="1055"/>
      <c r="BT74" s="1055"/>
      <c r="BU74" s="1055"/>
      <c r="BV74" s="1057"/>
    </row>
    <row r="75" spans="1:104" s="1053" customFormat="1" x14ac:dyDescent="0.25">
      <c r="A75" s="1058" t="s">
        <v>1085</v>
      </c>
      <c r="B75" s="1055"/>
      <c r="C75" s="1056"/>
      <c r="D75" s="1253"/>
      <c r="E75" s="1056"/>
      <c r="F75" s="1055"/>
      <c r="G75" s="1055"/>
      <c r="H75" s="1055"/>
      <c r="I75" s="1055"/>
      <c r="J75" s="1055"/>
      <c r="K75" s="1055"/>
      <c r="L75" s="1055"/>
      <c r="M75" s="1055"/>
      <c r="N75" s="1059">
        <v>9.3969749999999994</v>
      </c>
      <c r="O75" s="1059">
        <v>8.8368559999999992</v>
      </c>
      <c r="P75" s="1059">
        <v>8.081448</v>
      </c>
      <c r="Q75" s="1059">
        <v>8.4844790000000003</v>
      </c>
      <c r="R75" s="1059">
        <v>8.3155520000000003</v>
      </c>
      <c r="S75" s="1059">
        <v>8.1773039999999995</v>
      </c>
      <c r="T75" s="1059">
        <v>8.6431299999999993</v>
      </c>
      <c r="U75" s="1059">
        <v>8.9205120000000004</v>
      </c>
      <c r="V75" s="1059">
        <v>9.2811249999999994</v>
      </c>
      <c r="W75" s="1059">
        <v>9.4920469999999995</v>
      </c>
      <c r="X75" s="1059">
        <v>9.6757190000000008</v>
      </c>
      <c r="Y75" s="1059">
        <v>9.8498520000000003</v>
      </c>
      <c r="Z75" s="1059">
        <v>10.083444999999999</v>
      </c>
      <c r="AA75" s="1059">
        <v>10.292596</v>
      </c>
      <c r="AB75" s="1059">
        <v>10.386177</v>
      </c>
      <c r="AC75" s="1059">
        <v>10.522978999999999</v>
      </c>
      <c r="AD75" s="1059">
        <v>10.688981999999999</v>
      </c>
      <c r="AE75" s="1059">
        <v>10.803459999999999</v>
      </c>
      <c r="AF75" s="1059">
        <v>10.994071</v>
      </c>
      <c r="AG75" s="1059">
        <v>11.132752999999999</v>
      </c>
      <c r="AH75" s="1059">
        <v>11.290343</v>
      </c>
      <c r="AI75" s="1059">
        <v>11.483471</v>
      </c>
      <c r="AJ75" s="1059">
        <v>11.774739</v>
      </c>
      <c r="AK75" s="1059">
        <v>12.104623999999999</v>
      </c>
      <c r="AL75" s="1059">
        <v>12.443429</v>
      </c>
      <c r="AM75" s="1059">
        <v>12.746489</v>
      </c>
      <c r="AN75" s="1059">
        <v>13.159888</v>
      </c>
      <c r="AO75" s="1059">
        <v>13.417020000000001</v>
      </c>
      <c r="AP75" s="1059">
        <v>13.853782000000001</v>
      </c>
      <c r="AQ75" s="1059">
        <v>14.239846</v>
      </c>
      <c r="AR75" s="1059">
        <v>14.480893</v>
      </c>
      <c r="AS75" s="1055"/>
      <c r="AT75" s="1055"/>
      <c r="AU75" s="1055"/>
      <c r="AV75" s="1055"/>
      <c r="AW75" s="1055"/>
      <c r="AX75" s="1055"/>
      <c r="AY75" s="1055"/>
      <c r="AZ75" s="1055"/>
      <c r="BA75" s="1055"/>
      <c r="BB75" s="1055"/>
      <c r="BC75" s="1055"/>
      <c r="BD75" s="1055"/>
      <c r="BE75" s="1055"/>
      <c r="BF75" s="1055"/>
      <c r="BG75" s="1055"/>
      <c r="BH75" s="1055"/>
      <c r="BI75" s="1055"/>
      <c r="BJ75" s="1055"/>
      <c r="BK75" s="1055"/>
      <c r="BL75" s="1055"/>
      <c r="BM75" s="1055"/>
      <c r="BN75" s="1055"/>
      <c r="BO75" s="1055"/>
      <c r="BP75" s="1055"/>
      <c r="BQ75" s="1055"/>
      <c r="BR75" s="1055"/>
      <c r="BS75" s="1055"/>
      <c r="BT75" s="1055"/>
      <c r="BU75" s="1055"/>
      <c r="BV75" s="1057"/>
    </row>
    <row r="76" spans="1:104" s="1053" customFormat="1" x14ac:dyDescent="0.25">
      <c r="A76" s="1058" t="s">
        <v>283</v>
      </c>
      <c r="B76" s="1055"/>
      <c r="C76" s="1056"/>
      <c r="D76" s="1253"/>
      <c r="E76" s="1056"/>
      <c r="F76" s="1055"/>
      <c r="G76" s="1055"/>
      <c r="H76" s="1055"/>
      <c r="I76" s="1055"/>
      <c r="J76" s="1055"/>
      <c r="K76" s="1055"/>
      <c r="L76" s="1055"/>
      <c r="M76" s="1055"/>
      <c r="N76" s="1059">
        <v>5.4839570000000002</v>
      </c>
      <c r="O76" s="1059">
        <v>4.8889880000000003</v>
      </c>
      <c r="P76" s="1059">
        <v>3.7668759999999999</v>
      </c>
      <c r="Q76" s="1059">
        <v>4.3500249999999996</v>
      </c>
      <c r="R76" s="1059">
        <v>4.4161510000000002</v>
      </c>
      <c r="S76" s="1059">
        <v>4.4533610000000001</v>
      </c>
      <c r="T76" s="1059">
        <v>4.916512</v>
      </c>
      <c r="U76" s="1059">
        <v>5.1321560000000002</v>
      </c>
      <c r="V76" s="1059">
        <v>5.3872429999999998</v>
      </c>
      <c r="W76" s="1059">
        <v>5.5533659999999996</v>
      </c>
      <c r="X76" s="1059">
        <v>5.6994189999999998</v>
      </c>
      <c r="Y76" s="1059">
        <v>5.84443</v>
      </c>
      <c r="Z76" s="1059">
        <v>6.055364</v>
      </c>
      <c r="AA76" s="1059">
        <v>6.2505249999999997</v>
      </c>
      <c r="AB76" s="1059">
        <v>6.3249610000000001</v>
      </c>
      <c r="AC76" s="1059">
        <v>6.4443630000000001</v>
      </c>
      <c r="AD76" s="1059">
        <v>6.5689469999999996</v>
      </c>
      <c r="AE76" s="1059">
        <v>6.6624569999999999</v>
      </c>
      <c r="AF76" s="1059">
        <v>6.8533949999999999</v>
      </c>
      <c r="AG76" s="1059">
        <v>6.9821</v>
      </c>
      <c r="AH76" s="1059">
        <v>7.1203779999999997</v>
      </c>
      <c r="AI76" s="1059">
        <v>7.3037179999999999</v>
      </c>
      <c r="AJ76" s="1059">
        <v>7.5896039999999996</v>
      </c>
      <c r="AK76" s="1059">
        <v>7.9110909999999999</v>
      </c>
      <c r="AL76" s="1059">
        <v>8.2410040000000002</v>
      </c>
      <c r="AM76" s="1059">
        <v>8.5300290000000007</v>
      </c>
      <c r="AN76" s="1059">
        <v>8.90123</v>
      </c>
      <c r="AO76" s="1059">
        <v>9.1114479999999993</v>
      </c>
      <c r="AP76" s="1059">
        <v>9.4914550000000002</v>
      </c>
      <c r="AQ76" s="1059">
        <v>9.8126739999999995</v>
      </c>
      <c r="AR76" s="1059">
        <v>10.012231</v>
      </c>
      <c r="AS76" s="1055"/>
      <c r="AT76" s="1055"/>
      <c r="AU76" s="1055"/>
      <c r="AV76" s="1055"/>
      <c r="AW76" s="1055"/>
      <c r="AX76" s="1055"/>
      <c r="AY76" s="1055"/>
      <c r="AZ76" s="1055"/>
      <c r="BA76" s="1055"/>
      <c r="BB76" s="1055"/>
      <c r="BC76" s="1055"/>
      <c r="BD76" s="1055"/>
      <c r="BE76" s="1055"/>
      <c r="BF76" s="1055"/>
      <c r="BG76" s="1055"/>
      <c r="BH76" s="1055"/>
      <c r="BI76" s="1055"/>
      <c r="BJ76" s="1055"/>
      <c r="BK76" s="1055"/>
      <c r="BL76" s="1055"/>
      <c r="BM76" s="1055"/>
      <c r="BN76" s="1055"/>
      <c r="BO76" s="1055"/>
      <c r="BP76" s="1055"/>
      <c r="BQ76" s="1055"/>
      <c r="BR76" s="1055"/>
      <c r="BS76" s="1055"/>
      <c r="BT76" s="1055"/>
      <c r="BU76" s="1055"/>
      <c r="BV76" s="1057"/>
    </row>
    <row r="77" spans="1:104" s="1053" customFormat="1" x14ac:dyDescent="0.25">
      <c r="A77" s="1060" t="str">
        <f>'HyARC Physical Property Data'!$A$74</f>
        <v>Electric Utility Natural Gas</v>
      </c>
      <c r="B77" s="1055"/>
      <c r="C77" s="1056"/>
      <c r="D77" s="1253"/>
      <c r="E77" s="1056"/>
      <c r="F77" s="1055"/>
      <c r="G77" s="1055"/>
      <c r="H77" s="1055"/>
      <c r="I77" s="1055"/>
      <c r="J77" s="1055"/>
      <c r="K77" s="1055"/>
      <c r="L77" s="1055"/>
      <c r="M77" s="1055"/>
      <c r="N77" s="1059">
        <v>5.2581660000000001</v>
      </c>
      <c r="O77" s="1059">
        <v>4.7747140000000003</v>
      </c>
      <c r="P77" s="1059">
        <v>3.3280129999999999</v>
      </c>
      <c r="Q77" s="1059">
        <v>3.7262059999999999</v>
      </c>
      <c r="R77" s="1059">
        <v>3.8342619999999998</v>
      </c>
      <c r="S77" s="1059">
        <v>3.9162499999999998</v>
      </c>
      <c r="T77" s="1059">
        <v>4.3469340000000001</v>
      </c>
      <c r="U77" s="1059">
        <v>4.5235139999999996</v>
      </c>
      <c r="V77" s="1059">
        <v>4.7720750000000001</v>
      </c>
      <c r="W77" s="1059">
        <v>4.9304030000000001</v>
      </c>
      <c r="X77" s="1059">
        <v>5.0667330000000002</v>
      </c>
      <c r="Y77" s="1059">
        <v>5.2030240000000001</v>
      </c>
      <c r="Z77" s="1059">
        <v>5.4141339999999998</v>
      </c>
      <c r="AA77" s="1059">
        <v>5.6120320000000001</v>
      </c>
      <c r="AB77" s="1059">
        <v>5.7180549999999997</v>
      </c>
      <c r="AC77" s="1059">
        <v>5.8497880000000002</v>
      </c>
      <c r="AD77" s="1059">
        <v>5.9964360000000001</v>
      </c>
      <c r="AE77" s="1059">
        <v>6.1136410000000003</v>
      </c>
      <c r="AF77" s="1059">
        <v>6.2808900000000003</v>
      </c>
      <c r="AG77" s="1059">
        <v>6.4099190000000004</v>
      </c>
      <c r="AH77" s="1059">
        <v>6.5488220000000004</v>
      </c>
      <c r="AI77" s="1059">
        <v>6.7307620000000004</v>
      </c>
      <c r="AJ77" s="1059">
        <v>7.0166529999999998</v>
      </c>
      <c r="AK77" s="1059">
        <v>7.3227570000000002</v>
      </c>
      <c r="AL77" s="1059">
        <v>7.6342280000000002</v>
      </c>
      <c r="AM77" s="1059">
        <v>7.902755</v>
      </c>
      <c r="AN77" s="1059">
        <v>8.2651950000000003</v>
      </c>
      <c r="AO77" s="1059">
        <v>8.4774010000000004</v>
      </c>
      <c r="AP77" s="1059">
        <v>8.8551400000000005</v>
      </c>
      <c r="AQ77" s="1059">
        <v>9.1715459999999993</v>
      </c>
      <c r="AR77" s="1059">
        <v>9.3359030000000001</v>
      </c>
      <c r="AS77" s="1055"/>
      <c r="AT77" s="1055"/>
      <c r="AU77" s="1055"/>
      <c r="AV77" s="1055"/>
      <c r="AW77" s="1055"/>
      <c r="AX77" s="1055"/>
      <c r="AY77" s="1055"/>
      <c r="AZ77" s="1055"/>
      <c r="BA77" s="1055"/>
      <c r="BB77" s="1055"/>
      <c r="BC77" s="1055"/>
      <c r="BD77" s="1055"/>
      <c r="BE77" s="1055"/>
      <c r="BF77" s="1055"/>
      <c r="BG77" s="1055"/>
      <c r="BH77" s="1055"/>
      <c r="BI77" s="1055"/>
      <c r="BJ77" s="1055"/>
      <c r="BK77" s="1055"/>
      <c r="BL77" s="1055"/>
      <c r="BM77" s="1055"/>
      <c r="BN77" s="1055"/>
      <c r="BO77" s="1055"/>
      <c r="BP77" s="1055"/>
      <c r="BQ77" s="1055"/>
      <c r="BR77" s="1055"/>
      <c r="BS77" s="1055"/>
      <c r="BT77" s="1055"/>
      <c r="BU77" s="1055"/>
      <c r="BV77" s="1057"/>
    </row>
    <row r="78" spans="1:104" s="1053" customFormat="1" x14ac:dyDescent="0.25">
      <c r="A78" s="1060" t="s">
        <v>1081</v>
      </c>
      <c r="B78" s="1055"/>
      <c r="C78" s="1056"/>
      <c r="D78" s="1253"/>
      <c r="E78" s="1056"/>
      <c r="F78" s="1055"/>
      <c r="G78" s="1055"/>
      <c r="H78" s="1055"/>
      <c r="I78" s="1055"/>
      <c r="J78" s="1055"/>
      <c r="K78" s="1055"/>
      <c r="L78" s="1055"/>
      <c r="M78" s="1055"/>
      <c r="N78" s="1059"/>
      <c r="O78" s="1059"/>
      <c r="P78" s="1059"/>
      <c r="Q78" s="1059"/>
      <c r="R78" s="1059"/>
      <c r="S78" s="1059"/>
      <c r="T78" s="1059"/>
      <c r="U78" s="1059"/>
      <c r="V78" s="1059"/>
      <c r="W78" s="1059"/>
      <c r="X78" s="1059"/>
      <c r="Y78" s="1059"/>
      <c r="Z78" s="1059"/>
      <c r="AA78" s="1059"/>
      <c r="AB78" s="1059"/>
      <c r="AC78" s="1059"/>
      <c r="AD78" s="1059"/>
      <c r="AE78" s="1059"/>
      <c r="AF78" s="1059"/>
      <c r="AG78" s="1059"/>
      <c r="AH78" s="1059"/>
      <c r="AI78" s="1059"/>
      <c r="AJ78" s="1059"/>
      <c r="AK78" s="1059"/>
      <c r="AL78" s="1059"/>
      <c r="AM78" s="1059"/>
      <c r="AN78" s="1059"/>
      <c r="AO78" s="1059"/>
      <c r="AP78" s="1059"/>
      <c r="AQ78" s="1059"/>
      <c r="AR78" s="1059"/>
      <c r="AS78" s="1055"/>
      <c r="AT78" s="1055"/>
      <c r="AU78" s="1055"/>
      <c r="AV78" s="1055"/>
      <c r="AW78" s="1055"/>
      <c r="AX78" s="1055"/>
      <c r="AY78" s="1055"/>
      <c r="AZ78" s="1055"/>
      <c r="BA78" s="1055"/>
      <c r="BB78" s="1055"/>
      <c r="BC78" s="1055"/>
      <c r="BD78" s="1055"/>
      <c r="BE78" s="1055"/>
      <c r="BF78" s="1055"/>
      <c r="BG78" s="1055"/>
      <c r="BH78" s="1055"/>
      <c r="BI78" s="1055"/>
      <c r="BJ78" s="1055"/>
      <c r="BK78" s="1055"/>
      <c r="BL78" s="1055"/>
      <c r="BM78" s="1055"/>
      <c r="BN78" s="1055"/>
      <c r="BO78" s="1055"/>
      <c r="BP78" s="1055"/>
      <c r="BQ78" s="1055"/>
      <c r="BR78" s="1055"/>
      <c r="BS78" s="1055"/>
      <c r="BT78" s="1055"/>
      <c r="BU78" s="1055"/>
      <c r="BV78" s="1057"/>
    </row>
    <row r="79" spans="1:104" s="1053" customFormat="1" x14ac:dyDescent="0.25">
      <c r="A79" s="1058" t="s">
        <v>1087</v>
      </c>
      <c r="B79" s="1055"/>
      <c r="C79" s="1056"/>
      <c r="D79" s="1253"/>
      <c r="E79" s="1056"/>
      <c r="F79" s="1055"/>
      <c r="G79" s="1055"/>
      <c r="H79" s="1055"/>
      <c r="I79" s="1055"/>
      <c r="J79" s="1055"/>
      <c r="K79" s="1055"/>
      <c r="L79" s="1055"/>
      <c r="M79" s="1055"/>
      <c r="N79" s="1059">
        <v>2.2979889999999998</v>
      </c>
      <c r="O79" s="1059">
        <v>2.38</v>
      </c>
      <c r="P79" s="1059">
        <v>2.414561</v>
      </c>
      <c r="Q79" s="1059">
        <v>2.3313350000000002</v>
      </c>
      <c r="R79" s="1059">
        <v>2.4666779999999999</v>
      </c>
      <c r="S79" s="1059">
        <v>2.490294</v>
      </c>
      <c r="T79" s="1059">
        <v>2.5700569999999998</v>
      </c>
      <c r="U79" s="1059">
        <v>2.5762320000000001</v>
      </c>
      <c r="V79" s="1059">
        <v>2.594992</v>
      </c>
      <c r="W79" s="1059">
        <v>2.6086049999999998</v>
      </c>
      <c r="X79" s="1059">
        <v>2.6433580000000001</v>
      </c>
      <c r="Y79" s="1059">
        <v>2.6708150000000002</v>
      </c>
      <c r="Z79" s="1059">
        <v>2.7142179999999998</v>
      </c>
      <c r="AA79" s="1059">
        <v>2.74918</v>
      </c>
      <c r="AB79" s="1059">
        <v>2.7884579999999999</v>
      </c>
      <c r="AC79" s="1059">
        <v>2.8318759999999998</v>
      </c>
      <c r="AD79" s="1059">
        <v>2.8692139999999999</v>
      </c>
      <c r="AE79" s="1059">
        <v>2.899435</v>
      </c>
      <c r="AF79" s="1059">
        <v>2.9368029999999998</v>
      </c>
      <c r="AG79" s="1059">
        <v>2.9781219999999999</v>
      </c>
      <c r="AH79" s="1059">
        <v>3.0179510000000001</v>
      </c>
      <c r="AI79" s="1059">
        <v>3.0527350000000002</v>
      </c>
      <c r="AJ79" s="1059">
        <v>3.090319</v>
      </c>
      <c r="AK79" s="1059">
        <v>3.1298509999999999</v>
      </c>
      <c r="AL79" s="1059">
        <v>3.1705510000000001</v>
      </c>
      <c r="AM79" s="1059">
        <v>3.2163840000000001</v>
      </c>
      <c r="AN79" s="1059">
        <v>3.2516949999999998</v>
      </c>
      <c r="AO79" s="1059">
        <v>3.2783180000000001</v>
      </c>
      <c r="AP79" s="1059">
        <v>3.3114089999999998</v>
      </c>
      <c r="AQ79" s="1059">
        <v>3.3562150000000002</v>
      </c>
      <c r="AR79" s="1059">
        <v>3.398895</v>
      </c>
      <c r="AS79" s="1055"/>
      <c r="AT79" s="1055"/>
      <c r="AU79" s="1055"/>
      <c r="AV79" s="1055"/>
      <c r="AW79" s="1055"/>
      <c r="AX79" s="1055"/>
      <c r="AY79" s="1055"/>
      <c r="AZ79" s="1055"/>
      <c r="BA79" s="1055"/>
      <c r="BB79" s="1055"/>
      <c r="BC79" s="1055"/>
      <c r="BD79" s="1055"/>
      <c r="BE79" s="1055"/>
      <c r="BF79" s="1055"/>
      <c r="BG79" s="1055"/>
      <c r="BH79" s="1055"/>
      <c r="BI79" s="1055"/>
      <c r="BJ79" s="1055"/>
      <c r="BK79" s="1055"/>
      <c r="BL79" s="1055"/>
      <c r="BM79" s="1055"/>
      <c r="BN79" s="1055"/>
      <c r="BO79" s="1055"/>
      <c r="BP79" s="1055"/>
      <c r="BQ79" s="1055"/>
      <c r="BR79" s="1055"/>
      <c r="BS79" s="1055"/>
      <c r="BT79" s="1055"/>
      <c r="BU79" s="1055"/>
      <c r="BV79" s="1057"/>
    </row>
    <row r="80" spans="1:104" s="1053" customFormat="1" x14ac:dyDescent="0.25">
      <c r="A80" s="1058" t="s">
        <v>683</v>
      </c>
      <c r="B80" s="1055"/>
      <c r="C80" s="1056"/>
      <c r="D80" s="1253"/>
      <c r="E80" s="1056"/>
      <c r="F80" s="1055"/>
      <c r="G80" s="1055"/>
      <c r="H80" s="1055"/>
      <c r="I80" s="1055"/>
      <c r="J80" s="1055"/>
      <c r="K80" s="1055"/>
      <c r="L80" s="1055"/>
      <c r="M80" s="1055"/>
      <c r="N80" s="1059">
        <v>30.492578999999999</v>
      </c>
      <c r="O80" s="1059">
        <v>29.980651999999999</v>
      </c>
      <c r="P80" s="1059">
        <v>28.501187999999999</v>
      </c>
      <c r="Q80" s="1059">
        <v>27.791989999999998</v>
      </c>
      <c r="R80" s="1059">
        <v>28.177313000000002</v>
      </c>
      <c r="S80" s="1059">
        <v>28.139455999999999</v>
      </c>
      <c r="T80" s="1059">
        <v>28.689319999999999</v>
      </c>
      <c r="U80" s="1059">
        <v>29.024557000000001</v>
      </c>
      <c r="V80" s="1059">
        <v>29.108899999999998</v>
      </c>
      <c r="W80" s="1059">
        <v>28.975003999999998</v>
      </c>
      <c r="X80" s="1059">
        <v>29.041111000000001</v>
      </c>
      <c r="Y80" s="1059">
        <v>29.162209000000001</v>
      </c>
      <c r="Z80" s="1059">
        <v>29.247681</v>
      </c>
      <c r="AA80" s="1059">
        <v>29.196009</v>
      </c>
      <c r="AB80" s="1059">
        <v>29.115604000000001</v>
      </c>
      <c r="AC80" s="1059">
        <v>29.201962000000002</v>
      </c>
      <c r="AD80" s="1059">
        <v>29.178121999999998</v>
      </c>
      <c r="AE80" s="1059">
        <v>29.212776000000002</v>
      </c>
      <c r="AF80" s="1059">
        <v>29.214404999999999</v>
      </c>
      <c r="AG80" s="1059">
        <v>29.344874999999998</v>
      </c>
      <c r="AH80" s="1059">
        <v>29.550170999999999</v>
      </c>
      <c r="AI80" s="1059">
        <v>29.794819</v>
      </c>
      <c r="AJ80" s="1059">
        <v>29.957190000000001</v>
      </c>
      <c r="AK80" s="1059">
        <v>30.275618000000001</v>
      </c>
      <c r="AL80" s="1059">
        <v>30.801399</v>
      </c>
      <c r="AM80" s="1059">
        <v>31.291125999999998</v>
      </c>
      <c r="AN80" s="1059">
        <v>31.806963</v>
      </c>
      <c r="AO80" s="1059">
        <v>32.268535999999997</v>
      </c>
      <c r="AP80" s="1059">
        <v>32.667476999999998</v>
      </c>
      <c r="AQ80" s="1059">
        <v>33.223427000000001</v>
      </c>
      <c r="AR80" s="1059">
        <v>33.577624999999998</v>
      </c>
      <c r="AS80" s="1055"/>
      <c r="AT80" s="1055"/>
      <c r="AU80" s="1055"/>
      <c r="AV80" s="1055"/>
      <c r="AW80" s="1055"/>
      <c r="AX80" s="1055"/>
      <c r="AY80" s="1055"/>
      <c r="AZ80" s="1055"/>
      <c r="BA80" s="1055"/>
      <c r="BB80" s="1055"/>
      <c r="BC80" s="1055"/>
      <c r="BD80" s="1055"/>
      <c r="BE80" s="1055"/>
      <c r="BF80" s="1055"/>
      <c r="BG80" s="1055"/>
      <c r="BH80" s="1055"/>
      <c r="BI80" s="1055"/>
      <c r="BJ80" s="1055"/>
      <c r="BK80" s="1055"/>
      <c r="BL80" s="1055"/>
      <c r="BM80" s="1055"/>
      <c r="BN80" s="1055"/>
      <c r="BO80" s="1055"/>
      <c r="BP80" s="1055"/>
      <c r="BQ80" s="1055"/>
      <c r="BR80" s="1055"/>
      <c r="BS80" s="1055"/>
      <c r="BT80" s="1055"/>
      <c r="BU80" s="1055"/>
      <c r="BV80" s="1057"/>
    </row>
    <row r="81" spans="1:104" s="1053" customFormat="1" x14ac:dyDescent="0.25">
      <c r="A81" s="1058" t="s">
        <v>698</v>
      </c>
      <c r="B81" s="1055"/>
      <c r="C81" s="1056"/>
      <c r="D81" s="1253"/>
      <c r="E81" s="1056"/>
      <c r="F81" s="1055"/>
      <c r="G81" s="1055"/>
      <c r="H81" s="1055"/>
      <c r="I81" s="1055"/>
      <c r="J81" s="1055"/>
      <c r="K81" s="1055"/>
      <c r="L81" s="1055"/>
      <c r="M81" s="1055"/>
      <c r="N81" s="1059">
        <v>20.260445000000001</v>
      </c>
      <c r="O81" s="1059">
        <v>19.975721</v>
      </c>
      <c r="P81" s="1059">
        <v>18.454588000000001</v>
      </c>
      <c r="Q81" s="1059">
        <v>18.157667</v>
      </c>
      <c r="R81" s="1059">
        <v>18.271274999999999</v>
      </c>
      <c r="S81" s="1059">
        <v>18.191776000000001</v>
      </c>
      <c r="T81" s="1059">
        <v>18.703628999999999</v>
      </c>
      <c r="U81" s="1059">
        <v>19.002967999999999</v>
      </c>
      <c r="V81" s="1059">
        <v>19.096264000000001</v>
      </c>
      <c r="W81" s="1059">
        <v>19.050228000000001</v>
      </c>
      <c r="X81" s="1059">
        <v>19.095860999999999</v>
      </c>
      <c r="Y81" s="1059">
        <v>19.252116999999998</v>
      </c>
      <c r="Z81" s="1059">
        <v>19.422526999999999</v>
      </c>
      <c r="AA81" s="1059">
        <v>19.539289</v>
      </c>
      <c r="AB81" s="1059">
        <v>19.565339999999999</v>
      </c>
      <c r="AC81" s="1059">
        <v>19.722131999999998</v>
      </c>
      <c r="AD81" s="1059">
        <v>19.810991000000001</v>
      </c>
      <c r="AE81" s="1059">
        <v>19.943812999999999</v>
      </c>
      <c r="AF81" s="1059">
        <v>20.046423000000001</v>
      </c>
      <c r="AG81" s="1059">
        <v>20.238405</v>
      </c>
      <c r="AH81" s="1059">
        <v>20.421748999999998</v>
      </c>
      <c r="AI81" s="1059">
        <v>20.607520999999998</v>
      </c>
      <c r="AJ81" s="1059">
        <v>20.839410999999998</v>
      </c>
      <c r="AK81" s="1059">
        <v>21.176966</v>
      </c>
      <c r="AL81" s="1059">
        <v>21.628757</v>
      </c>
      <c r="AM81" s="1059">
        <v>22.108962999999999</v>
      </c>
      <c r="AN81" s="1059">
        <v>22.567038</v>
      </c>
      <c r="AO81" s="1059">
        <v>22.990486000000001</v>
      </c>
      <c r="AP81" s="1059">
        <v>23.379736000000001</v>
      </c>
      <c r="AQ81" s="1059">
        <v>23.871493999999998</v>
      </c>
      <c r="AR81" s="1059">
        <v>24.167221000000001</v>
      </c>
      <c r="AS81" s="1055"/>
      <c r="AT81" s="1055"/>
      <c r="AU81" s="1055"/>
      <c r="AV81" s="1055"/>
      <c r="AW81" s="1055"/>
      <c r="AX81" s="1055"/>
      <c r="AY81" s="1055"/>
      <c r="AZ81" s="1055"/>
      <c r="BA81" s="1055"/>
      <c r="BB81" s="1055"/>
      <c r="BC81" s="1055"/>
      <c r="BD81" s="1055"/>
      <c r="BE81" s="1055"/>
      <c r="BF81" s="1055"/>
      <c r="BG81" s="1055"/>
      <c r="BH81" s="1055"/>
      <c r="BI81" s="1055"/>
      <c r="BJ81" s="1055"/>
      <c r="BK81" s="1055"/>
      <c r="BL81" s="1055"/>
      <c r="BM81" s="1055"/>
      <c r="BN81" s="1055"/>
      <c r="BO81" s="1055"/>
      <c r="BP81" s="1055"/>
      <c r="BQ81" s="1055"/>
      <c r="BR81" s="1055"/>
      <c r="BS81" s="1055"/>
      <c r="BT81" s="1055"/>
      <c r="BU81" s="1055"/>
      <c r="BV81" s="1057"/>
    </row>
    <row r="82" spans="1:104" s="1053" customFormat="1" ht="13" thickBot="1" x14ac:dyDescent="0.3">
      <c r="A82" s="1062" t="s">
        <v>684</v>
      </c>
      <c r="B82" s="1063"/>
      <c r="C82" s="1064"/>
      <c r="D82" s="1254"/>
      <c r="E82" s="1064"/>
      <c r="F82" s="1063"/>
      <c r="G82" s="1063"/>
      <c r="H82" s="1063"/>
      <c r="I82" s="1063"/>
      <c r="J82" s="1063"/>
      <c r="K82" s="1063"/>
      <c r="L82" s="1063"/>
      <c r="M82" s="1063"/>
      <c r="N82" s="1065">
        <v>34.522823000000002</v>
      </c>
      <c r="O82" s="1065">
        <v>34.335875999999999</v>
      </c>
      <c r="P82" s="1065">
        <v>33.292259000000001</v>
      </c>
      <c r="Q82" s="1065">
        <v>32.561348000000002</v>
      </c>
      <c r="R82" s="1065">
        <v>33.352730000000001</v>
      </c>
      <c r="S82" s="1065">
        <v>33.489016999999997</v>
      </c>
      <c r="T82" s="1065">
        <v>34.046703000000001</v>
      </c>
      <c r="U82" s="1065">
        <v>34.326427000000002</v>
      </c>
      <c r="V82" s="1065">
        <v>34.303291000000002</v>
      </c>
      <c r="W82" s="1065">
        <v>34.076405000000001</v>
      </c>
      <c r="X82" s="1065">
        <v>34.105117999999997</v>
      </c>
      <c r="Y82" s="1065">
        <v>34.184669</v>
      </c>
      <c r="Z82" s="1065">
        <v>34.290134000000002</v>
      </c>
      <c r="AA82" s="1065">
        <v>34.319408000000003</v>
      </c>
      <c r="AB82" s="1065">
        <v>34.416462000000003</v>
      </c>
      <c r="AC82" s="1065">
        <v>34.726405999999997</v>
      </c>
      <c r="AD82" s="1065">
        <v>34.904162999999997</v>
      </c>
      <c r="AE82" s="1065">
        <v>35.063048999999999</v>
      </c>
      <c r="AF82" s="1065">
        <v>35.177726999999997</v>
      </c>
      <c r="AG82" s="1065">
        <v>35.337353</v>
      </c>
      <c r="AH82" s="1065">
        <v>35.506706000000001</v>
      </c>
      <c r="AI82" s="1065">
        <v>35.725586</v>
      </c>
      <c r="AJ82" s="1065">
        <v>35.884253999999999</v>
      </c>
      <c r="AK82" s="1065">
        <v>36.154865000000001</v>
      </c>
      <c r="AL82" s="1065">
        <v>36.608756999999997</v>
      </c>
      <c r="AM82" s="1065">
        <v>37.082008000000002</v>
      </c>
      <c r="AN82" s="1065">
        <v>37.502094</v>
      </c>
      <c r="AO82" s="1065">
        <v>37.842292999999998</v>
      </c>
      <c r="AP82" s="1065">
        <v>38.16151</v>
      </c>
      <c r="AQ82" s="1065">
        <v>38.618450000000003</v>
      </c>
      <c r="AR82" s="1065">
        <v>38.850749999999998</v>
      </c>
      <c r="AS82" s="1063"/>
      <c r="AT82" s="1063"/>
      <c r="AU82" s="1063"/>
      <c r="AV82" s="1063"/>
      <c r="AW82" s="1063"/>
      <c r="AX82" s="1063"/>
      <c r="AY82" s="1063"/>
      <c r="AZ82" s="1063"/>
      <c r="BA82" s="1063"/>
      <c r="BB82" s="1063"/>
      <c r="BC82" s="1063"/>
      <c r="BD82" s="1063"/>
      <c r="BE82" s="1063"/>
      <c r="BF82" s="1063"/>
      <c r="BG82" s="1063"/>
      <c r="BH82" s="1063"/>
      <c r="BI82" s="1063"/>
      <c r="BJ82" s="1063"/>
      <c r="BK82" s="1063"/>
      <c r="BL82" s="1063"/>
      <c r="BM82" s="1063"/>
      <c r="BN82" s="1063"/>
      <c r="BO82" s="1063"/>
      <c r="BP82" s="1063"/>
      <c r="BQ82" s="1063"/>
      <c r="BR82" s="1063"/>
      <c r="BS82" s="1063"/>
      <c r="BT82" s="1063"/>
      <c r="BU82" s="1063"/>
      <c r="BV82" s="1066"/>
    </row>
    <row r="83" spans="1:104" x14ac:dyDescent="0.25">
      <c r="D83" s="1096"/>
      <c r="E83" s="975"/>
    </row>
    <row r="84" spans="1:104" x14ac:dyDescent="0.25">
      <c r="D84" s="1096"/>
    </row>
    <row r="85" spans="1:104" ht="13" thickBot="1" x14ac:dyDescent="0.3">
      <c r="D85" s="1096"/>
    </row>
    <row r="86" spans="1:104" ht="13.5" thickTop="1" x14ac:dyDescent="0.3">
      <c r="A86" s="867" t="s">
        <v>1107</v>
      </c>
      <c r="B86" s="868" t="str">
        <f>"Prices are in $(" &amp; ref_year&amp;")/GJ LHV"</f>
        <v>Prices are in $(2016)/GJ LHV</v>
      </c>
      <c r="C86" s="868"/>
      <c r="D86" s="1255"/>
      <c r="E86" s="868"/>
      <c r="F86" s="869"/>
      <c r="G86" s="869"/>
      <c r="H86" s="869"/>
      <c r="I86" s="869"/>
      <c r="J86" s="869"/>
      <c r="K86" s="869"/>
      <c r="L86" s="869"/>
      <c r="M86" s="869"/>
      <c r="N86" s="869"/>
      <c r="O86" s="869"/>
      <c r="P86" s="869"/>
      <c r="Q86" s="869"/>
      <c r="R86" s="869"/>
      <c r="S86" s="869"/>
      <c r="T86" s="869"/>
      <c r="U86" s="869"/>
      <c r="V86" s="869"/>
      <c r="W86" s="869"/>
      <c r="X86" s="869"/>
      <c r="Y86" s="869"/>
      <c r="Z86" s="869"/>
      <c r="AA86" s="869"/>
      <c r="AB86" s="869"/>
      <c r="AC86" s="869"/>
      <c r="AD86" s="869"/>
      <c r="AE86" s="869"/>
      <c r="AF86" s="869"/>
      <c r="AG86" s="869"/>
      <c r="AH86" s="869"/>
      <c r="AI86" s="869"/>
      <c r="AJ86" s="869"/>
      <c r="AK86" s="869"/>
      <c r="AL86" s="869"/>
      <c r="AM86" s="869"/>
      <c r="AN86" s="869"/>
      <c r="AO86" s="869"/>
      <c r="AP86" s="869"/>
      <c r="AQ86" s="869"/>
      <c r="AR86" s="869"/>
      <c r="AS86" s="882" t="s">
        <v>772</v>
      </c>
      <c r="AT86" s="883"/>
      <c r="AU86" s="883"/>
      <c r="AV86" s="883"/>
      <c r="AW86" s="883"/>
      <c r="AX86" s="883"/>
      <c r="AY86" s="883"/>
      <c r="AZ86" s="883"/>
      <c r="BA86" s="883"/>
      <c r="BB86" s="883"/>
      <c r="BC86" s="883"/>
      <c r="BD86" s="883"/>
      <c r="BE86" s="883"/>
      <c r="BF86" s="883"/>
      <c r="BG86" s="883"/>
      <c r="BH86" s="883"/>
      <c r="BI86" s="883"/>
      <c r="BJ86" s="883"/>
      <c r="BK86" s="883"/>
      <c r="BL86" s="883"/>
      <c r="BM86" s="883"/>
      <c r="BN86" s="883"/>
      <c r="BO86" s="883"/>
      <c r="BP86" s="883"/>
      <c r="BQ86" s="883"/>
      <c r="BR86" s="883"/>
      <c r="BS86" s="883"/>
      <c r="BT86" s="883"/>
      <c r="BU86" s="883"/>
      <c r="BV86" s="884"/>
    </row>
    <row r="87" spans="1:104" ht="39.5" thickBot="1" x14ac:dyDescent="0.35">
      <c r="A87" s="1122" t="s">
        <v>1084</v>
      </c>
      <c r="B87" s="1123" t="s">
        <v>678</v>
      </c>
      <c r="C87" s="1123" t="s">
        <v>679</v>
      </c>
      <c r="D87" s="1256" t="s">
        <v>690</v>
      </c>
      <c r="E87" s="1123" t="s">
        <v>691</v>
      </c>
      <c r="F87" s="1124" t="s">
        <v>680</v>
      </c>
      <c r="G87" s="1124" t="s">
        <v>692</v>
      </c>
      <c r="H87" s="889">
        <v>2004</v>
      </c>
      <c r="I87" s="889">
        <v>2005</v>
      </c>
      <c r="J87" s="889">
        <v>2006</v>
      </c>
      <c r="K87" s="889">
        <v>2007</v>
      </c>
      <c r="L87" s="889">
        <v>2008</v>
      </c>
      <c r="M87" s="889">
        <v>2009</v>
      </c>
      <c r="N87" s="889">
        <v>2010</v>
      </c>
      <c r="O87" s="889">
        <v>2011</v>
      </c>
      <c r="P87" s="889">
        <v>2012</v>
      </c>
      <c r="Q87" s="889">
        <v>2013</v>
      </c>
      <c r="R87" s="889">
        <v>2014</v>
      </c>
      <c r="S87" s="889">
        <v>2015</v>
      </c>
      <c r="T87" s="889">
        <v>2016</v>
      </c>
      <c r="U87" s="889">
        <v>2017</v>
      </c>
      <c r="V87" s="889">
        <v>2018</v>
      </c>
      <c r="W87" s="889">
        <v>2019</v>
      </c>
      <c r="X87" s="889">
        <v>2020</v>
      </c>
      <c r="Y87" s="889">
        <v>2021</v>
      </c>
      <c r="Z87" s="889">
        <v>2022</v>
      </c>
      <c r="AA87" s="889">
        <v>2023</v>
      </c>
      <c r="AB87" s="889">
        <v>2024</v>
      </c>
      <c r="AC87" s="889">
        <v>2025</v>
      </c>
      <c r="AD87" s="889">
        <v>2026</v>
      </c>
      <c r="AE87" s="889">
        <v>2027</v>
      </c>
      <c r="AF87" s="889">
        <v>2028</v>
      </c>
      <c r="AG87" s="889">
        <v>2029</v>
      </c>
      <c r="AH87" s="889">
        <v>2030</v>
      </c>
      <c r="AI87" s="889">
        <v>2031</v>
      </c>
      <c r="AJ87" s="889">
        <v>2032</v>
      </c>
      <c r="AK87" s="889">
        <v>2033</v>
      </c>
      <c r="AL87" s="889">
        <v>2034</v>
      </c>
      <c r="AM87" s="889">
        <v>2035</v>
      </c>
      <c r="AN87" s="889">
        <v>2036</v>
      </c>
      <c r="AO87" s="889">
        <v>2037</v>
      </c>
      <c r="AP87" s="889">
        <v>2038</v>
      </c>
      <c r="AQ87" s="889">
        <v>2039</v>
      </c>
      <c r="AR87" s="889">
        <v>2040</v>
      </c>
      <c r="AS87" s="889">
        <v>2041</v>
      </c>
      <c r="AT87" s="889">
        <v>2042</v>
      </c>
      <c r="AU87" s="889">
        <v>2043</v>
      </c>
      <c r="AV87" s="889">
        <v>2044</v>
      </c>
      <c r="AW87" s="889">
        <v>2045</v>
      </c>
      <c r="AX87" s="889">
        <v>2046</v>
      </c>
      <c r="AY87" s="889">
        <v>2047</v>
      </c>
      <c r="AZ87" s="889">
        <v>2048</v>
      </c>
      <c r="BA87" s="889">
        <v>2049</v>
      </c>
      <c r="BB87" s="889">
        <v>2050</v>
      </c>
      <c r="BC87" s="889">
        <v>2051</v>
      </c>
      <c r="BD87" s="889">
        <v>2052</v>
      </c>
      <c r="BE87" s="889">
        <v>2053</v>
      </c>
      <c r="BF87" s="889">
        <v>2054</v>
      </c>
      <c r="BG87" s="889">
        <v>2055</v>
      </c>
      <c r="BH87" s="889">
        <v>2056</v>
      </c>
      <c r="BI87" s="889">
        <v>2057</v>
      </c>
      <c r="BJ87" s="889">
        <v>2058</v>
      </c>
      <c r="BK87" s="889">
        <v>2059</v>
      </c>
      <c r="BL87" s="889">
        <v>2060</v>
      </c>
      <c r="BM87" s="889">
        <v>2061</v>
      </c>
      <c r="BN87" s="889">
        <v>2062</v>
      </c>
      <c r="BO87" s="889">
        <v>2063</v>
      </c>
      <c r="BP87" s="889">
        <v>2064</v>
      </c>
      <c r="BQ87" s="889">
        <v>2065</v>
      </c>
      <c r="BR87" s="889">
        <v>2066</v>
      </c>
      <c r="BS87" s="889">
        <v>2067</v>
      </c>
      <c r="BT87" s="889">
        <v>2068</v>
      </c>
      <c r="BU87" s="889">
        <v>2069</v>
      </c>
      <c r="BV87" s="890">
        <v>2070</v>
      </c>
      <c r="BW87" s="1399">
        <f t="shared" ref="BW87" si="191">+BV87+1</f>
        <v>2071</v>
      </c>
      <c r="BX87" s="1399">
        <f t="shared" ref="BX87" si="192">+BW87+1</f>
        <v>2072</v>
      </c>
      <c r="BY87" s="1399">
        <f t="shared" ref="BY87" si="193">+BX87+1</f>
        <v>2073</v>
      </c>
      <c r="BZ87" s="1399">
        <f t="shared" ref="BZ87" si="194">+BY87+1</f>
        <v>2074</v>
      </c>
      <c r="CA87" s="1399">
        <f t="shared" ref="CA87" si="195">+BZ87+1</f>
        <v>2075</v>
      </c>
      <c r="CB87" s="1399">
        <f t="shared" ref="CB87" si="196">+CA87+1</f>
        <v>2076</v>
      </c>
      <c r="CC87" s="1399">
        <f t="shared" ref="CC87" si="197">+CB87+1</f>
        <v>2077</v>
      </c>
      <c r="CD87" s="1399">
        <f t="shared" ref="CD87" si="198">+CC87+1</f>
        <v>2078</v>
      </c>
      <c r="CE87" s="1399">
        <f t="shared" ref="CE87" si="199">+CD87+1</f>
        <v>2079</v>
      </c>
      <c r="CF87" s="1399">
        <f t="shared" ref="CF87" si="200">+CE87+1</f>
        <v>2080</v>
      </c>
      <c r="CG87" s="1399">
        <f t="shared" ref="CG87" si="201">+CF87+1</f>
        <v>2081</v>
      </c>
      <c r="CH87" s="1399">
        <f t="shared" ref="CH87" si="202">+CG87+1</f>
        <v>2082</v>
      </c>
      <c r="CI87" s="1399">
        <f t="shared" ref="CI87" si="203">+CH87+1</f>
        <v>2083</v>
      </c>
      <c r="CJ87" s="1399">
        <f t="shared" ref="CJ87" si="204">+CI87+1</f>
        <v>2084</v>
      </c>
      <c r="CK87" s="1399">
        <f t="shared" ref="CK87" si="205">+CJ87+1</f>
        <v>2085</v>
      </c>
      <c r="CL87" s="1399">
        <f t="shared" ref="CL87" si="206">+CK87+1</f>
        <v>2086</v>
      </c>
      <c r="CM87" s="1399">
        <f t="shared" ref="CM87" si="207">+CL87+1</f>
        <v>2087</v>
      </c>
      <c r="CN87" s="1399">
        <f t="shared" ref="CN87" si="208">+CM87+1</f>
        <v>2088</v>
      </c>
      <c r="CO87" s="1399">
        <f t="shared" ref="CO87" si="209">+CN87+1</f>
        <v>2089</v>
      </c>
      <c r="CP87" s="1399">
        <f t="shared" ref="CP87" si="210">+CO87+1</f>
        <v>2090</v>
      </c>
      <c r="CQ87" s="1399">
        <f t="shared" ref="CQ87" si="211">+CP87+1</f>
        <v>2091</v>
      </c>
      <c r="CR87" s="1399">
        <f t="shared" ref="CR87" si="212">+CQ87+1</f>
        <v>2092</v>
      </c>
      <c r="CS87" s="1399">
        <f t="shared" ref="CS87" si="213">+CR87+1</f>
        <v>2093</v>
      </c>
      <c r="CT87" s="1399">
        <f t="shared" ref="CT87" si="214">+CS87+1</f>
        <v>2094</v>
      </c>
      <c r="CU87" s="1399">
        <f t="shared" ref="CU87" si="215">+CT87+1</f>
        <v>2095</v>
      </c>
      <c r="CV87" s="1399">
        <f t="shared" ref="CV87" si="216">+CU87+1</f>
        <v>2096</v>
      </c>
      <c r="CW87" s="1399">
        <f t="shared" ref="CW87" si="217">+CV87+1</f>
        <v>2097</v>
      </c>
      <c r="CX87" s="1399">
        <f t="shared" ref="CX87" si="218">+CW87+1</f>
        <v>2098</v>
      </c>
      <c r="CY87" s="1399">
        <f t="shared" ref="CY87" si="219">+CX87+1</f>
        <v>2099</v>
      </c>
      <c r="CZ87" s="1399">
        <f t="shared" ref="CZ87" si="220">+CY87+1</f>
        <v>2100</v>
      </c>
    </row>
    <row r="88" spans="1:104" ht="13" thickBot="1" x14ac:dyDescent="0.3">
      <c r="A88" s="870" t="s">
        <v>1090</v>
      </c>
      <c r="B88" s="871"/>
      <c r="C88" s="871"/>
      <c r="D88" s="1257"/>
      <c r="E88" s="871"/>
      <c r="F88" s="871"/>
      <c r="G88" s="871"/>
      <c r="H88" s="959"/>
      <c r="I88" s="959"/>
      <c r="J88" s="959"/>
      <c r="K88" s="959"/>
      <c r="L88" s="959"/>
      <c r="M88" s="959"/>
      <c r="N88" s="959"/>
      <c r="O88" s="959"/>
      <c r="P88" s="959"/>
      <c r="Q88" s="959"/>
      <c r="R88" s="959"/>
      <c r="S88" s="959"/>
      <c r="T88" s="959"/>
      <c r="U88" s="959"/>
      <c r="V88" s="959"/>
      <c r="W88" s="959"/>
      <c r="X88" s="959"/>
      <c r="Y88" s="959"/>
      <c r="Z88" s="959"/>
      <c r="AA88" s="959"/>
      <c r="AB88" s="959"/>
      <c r="AC88" s="959"/>
      <c r="AD88" s="959"/>
      <c r="AE88" s="959"/>
      <c r="AF88" s="959"/>
      <c r="AG88" s="959"/>
      <c r="AH88" s="959"/>
      <c r="AI88" s="959"/>
      <c r="AJ88" s="959"/>
      <c r="AK88" s="959"/>
      <c r="AL88" s="959"/>
      <c r="AM88" s="959"/>
      <c r="AN88" s="959"/>
      <c r="AO88" s="959"/>
      <c r="AP88" s="959"/>
      <c r="AQ88" s="959"/>
      <c r="AR88" s="959"/>
      <c r="AS88" s="959"/>
      <c r="AT88" s="959"/>
      <c r="AU88" s="959"/>
      <c r="AV88" s="959"/>
      <c r="AW88" s="959"/>
      <c r="AX88" s="959"/>
      <c r="AY88" s="959"/>
      <c r="AZ88" s="959"/>
      <c r="BA88" s="959"/>
      <c r="BC88" s="959"/>
      <c r="BD88" s="959"/>
      <c r="BE88" s="959"/>
      <c r="BF88" s="959"/>
      <c r="BG88" s="959"/>
      <c r="BH88" s="959"/>
      <c r="BI88" s="959"/>
      <c r="BJ88" s="959"/>
      <c r="BK88" s="959"/>
      <c r="BL88" s="959"/>
      <c r="BM88" s="959"/>
      <c r="BN88" s="959"/>
      <c r="BO88" s="959"/>
      <c r="BP88" s="959"/>
      <c r="BR88" s="959"/>
      <c r="BS88" s="959"/>
      <c r="BT88" s="959"/>
      <c r="BU88" s="959"/>
    </row>
    <row r="89" spans="1:104" ht="13" x14ac:dyDescent="0.3">
      <c r="A89" s="873" t="str">
        <f>'HyARC Physical Property Data'!A73</f>
        <v>Residential Natural Gas</v>
      </c>
      <c r="B89" s="260">
        <v>2012</v>
      </c>
      <c r="C89" s="874">
        <f t="shared" ref="C89:C100" si="221">VLOOKUP(ref_year,DeflatorTable,2,FALSE)/VLOOKUP(B89,DeflatorTable,2,FALSE)</f>
        <v>1.0589185747008452</v>
      </c>
      <c r="D89" s="1258" t="str">
        <f>'HyARC Physical Property Data'!H73</f>
        <v>mmBtu</v>
      </c>
      <c r="E89" s="874" t="s">
        <v>1058</v>
      </c>
      <c r="F89" s="260">
        <f>'HyARC Physical Property Data'!$E$6</f>
        <v>47.141269049911173</v>
      </c>
      <c r="G89" s="260">
        <f>'HyARC Physical Property Data'!$I$6</f>
        <v>52.224661236371581</v>
      </c>
      <c r="H89" s="1068">
        <v>12.595706345448797</v>
      </c>
      <c r="I89" s="1068">
        <v>12.595706345448797</v>
      </c>
      <c r="J89" s="1068">
        <v>12.595706345448797</v>
      </c>
      <c r="K89" s="1068">
        <v>12.595706345448797</v>
      </c>
      <c r="L89" s="1068">
        <v>13.121338604068761</v>
      </c>
      <c r="M89" s="1068">
        <v>11.086947084595193</v>
      </c>
      <c r="N89" s="1068">
        <v>10.600250548835966</v>
      </c>
      <c r="O89" s="959">
        <f t="shared" ref="O89:AR89" si="222">O106*($C89/mmBTU_to_GJ*$G89/$F89)</f>
        <v>12.2087929242581</v>
      </c>
      <c r="P89" s="959">
        <f t="shared" si="222"/>
        <v>11.62926676611875</v>
      </c>
      <c r="Q89" s="959">
        <f t="shared" si="222"/>
        <v>11.549569006878718</v>
      </c>
      <c r="R89" s="959">
        <f t="shared" si="222"/>
        <v>12.451077492669647</v>
      </c>
      <c r="S89" s="959">
        <f t="shared" si="222"/>
        <v>12.228661210695314</v>
      </c>
      <c r="T89" s="959">
        <f t="shared" si="222"/>
        <v>11.880721569489316</v>
      </c>
      <c r="U89" s="959">
        <f t="shared" si="222"/>
        <v>12.243181027367417</v>
      </c>
      <c r="V89" s="959">
        <f t="shared" si="222"/>
        <v>12.738447103720736</v>
      </c>
      <c r="W89" s="959">
        <f t="shared" si="222"/>
        <v>12.928721417497503</v>
      </c>
      <c r="X89" s="959">
        <f t="shared" si="222"/>
        <v>12.889662020940529</v>
      </c>
      <c r="Y89" s="959">
        <f t="shared" si="222"/>
        <v>13.126157788188424</v>
      </c>
      <c r="Z89" s="959">
        <f t="shared" si="222"/>
        <v>13.227924378910403</v>
      </c>
      <c r="AA89" s="959">
        <f t="shared" si="222"/>
        <v>13.406700038666168</v>
      </c>
      <c r="AB89" s="959">
        <f t="shared" si="222"/>
        <v>13.682684414389822</v>
      </c>
      <c r="AC89" s="959">
        <f t="shared" si="222"/>
        <v>13.872072505629625</v>
      </c>
      <c r="AD89" s="959">
        <f t="shared" si="222"/>
        <v>13.98822325537062</v>
      </c>
      <c r="AE89" s="959">
        <f t="shared" si="222"/>
        <v>14.139968571775018</v>
      </c>
      <c r="AF89" s="959">
        <f t="shared" si="222"/>
        <v>14.341810480347306</v>
      </c>
      <c r="AG89" s="959">
        <f t="shared" si="222"/>
        <v>14.660154514221039</v>
      </c>
      <c r="AH89" s="959">
        <f t="shared" si="222"/>
        <v>15.014507871353267</v>
      </c>
      <c r="AI89" s="959">
        <f t="shared" si="222"/>
        <v>15.178056515524123</v>
      </c>
      <c r="AJ89" s="959">
        <f t="shared" si="222"/>
        <v>15.247180761459282</v>
      </c>
      <c r="AK89" s="959">
        <f t="shared" si="222"/>
        <v>15.504403238981952</v>
      </c>
      <c r="AL89" s="959">
        <f t="shared" si="222"/>
        <v>15.944730189731404</v>
      </c>
      <c r="AM89" s="959">
        <f t="shared" si="222"/>
        <v>16.240765211360355</v>
      </c>
      <c r="AN89" s="959">
        <f t="shared" si="222"/>
        <v>16.673418609126639</v>
      </c>
      <c r="AO89" s="959">
        <f t="shared" si="222"/>
        <v>16.84862158003515</v>
      </c>
      <c r="AP89" s="959">
        <f t="shared" si="222"/>
        <v>16.990523932954982</v>
      </c>
      <c r="AQ89" s="959">
        <f t="shared" si="222"/>
        <v>17.36681602365595</v>
      </c>
      <c r="AR89" s="959">
        <f t="shared" si="222"/>
        <v>17.766490156398653</v>
      </c>
      <c r="AS89" s="959">
        <f>($BB89-$AR89)/10+AR89</f>
        <v>17.817297159388684</v>
      </c>
      <c r="AT89" s="959">
        <f t="shared" ref="AT89:BA89" si="223">($BB89-$AR89)/10+AS89</f>
        <v>17.868104162378714</v>
      </c>
      <c r="AU89" s="959">
        <f t="shared" si="223"/>
        <v>17.918911165368744</v>
      </c>
      <c r="AV89" s="959">
        <f t="shared" si="223"/>
        <v>17.969718168358774</v>
      </c>
      <c r="AW89" s="959">
        <f t="shared" si="223"/>
        <v>18.020525171348805</v>
      </c>
      <c r="AX89" s="959">
        <f t="shared" si="223"/>
        <v>18.071332174338835</v>
      </c>
      <c r="AY89" s="959">
        <f t="shared" si="223"/>
        <v>18.122139177328865</v>
      </c>
      <c r="AZ89" s="959">
        <f t="shared" si="223"/>
        <v>18.172946180318895</v>
      </c>
      <c r="BA89" s="959">
        <f t="shared" si="223"/>
        <v>18.223753183308926</v>
      </c>
      <c r="BB89" s="961">
        <f>'AEO Data'!$B$30*AM89</f>
        <v>18.274560186298949</v>
      </c>
      <c r="BC89" s="959">
        <f t="shared" ref="BC89:BP92" si="224">($BQ89-$BB89)/15+BB89</f>
        <v>18.423467349139123</v>
      </c>
      <c r="BD89" s="959">
        <f t="shared" si="224"/>
        <v>18.572374511979298</v>
      </c>
      <c r="BE89" s="959">
        <f t="shared" si="224"/>
        <v>18.721281674819473</v>
      </c>
      <c r="BF89" s="959">
        <f t="shared" si="224"/>
        <v>18.870188837659647</v>
      </c>
      <c r="BG89" s="959">
        <f t="shared" si="224"/>
        <v>19.019096000499822</v>
      </c>
      <c r="BH89" s="959">
        <f t="shared" si="224"/>
        <v>19.168003163339996</v>
      </c>
      <c r="BI89" s="959">
        <f t="shared" si="224"/>
        <v>19.316910326180171</v>
      </c>
      <c r="BJ89" s="959">
        <f t="shared" si="224"/>
        <v>19.465817489020345</v>
      </c>
      <c r="BK89" s="959">
        <f t="shared" si="224"/>
        <v>19.61472465186052</v>
      </c>
      <c r="BL89" s="959">
        <f t="shared" si="224"/>
        <v>19.763631814700695</v>
      </c>
      <c r="BM89" s="959">
        <f t="shared" si="224"/>
        <v>19.912538977540869</v>
      </c>
      <c r="BN89" s="959">
        <f t="shared" si="224"/>
        <v>20.061446140381044</v>
      </c>
      <c r="BO89" s="959">
        <f t="shared" si="224"/>
        <v>20.210353303221218</v>
      </c>
      <c r="BP89" s="959">
        <f t="shared" si="224"/>
        <v>20.359260466061393</v>
      </c>
      <c r="BQ89" s="961">
        <f>'AEO Data'!$C$30*BB89</f>
        <v>20.508167628901592</v>
      </c>
      <c r="BR89" s="959">
        <f t="shared" ref="BR89:BU92" si="225">($BV89-$BQ89)/5+BQ89</f>
        <v>20.62538963666017</v>
      </c>
      <c r="BS89" s="959">
        <f t="shared" si="225"/>
        <v>20.742611644418748</v>
      </c>
      <c r="BT89" s="959">
        <f t="shared" si="225"/>
        <v>20.859833652177326</v>
      </c>
      <c r="BU89" s="959">
        <f t="shared" si="225"/>
        <v>20.977055659935903</v>
      </c>
      <c r="BV89" s="962">
        <f>'AEO Data'!$D$30*BQ89</f>
        <v>21.094277667694488</v>
      </c>
      <c r="BW89" s="1398">
        <f>+BV89*BW$133/BV$133</f>
        <v>21.164316872120814</v>
      </c>
      <c r="BX89" s="1398">
        <f t="shared" ref="BX89:CZ89" si="226">+BW89*BX$133/BW$133</f>
        <v>21.234588627300191</v>
      </c>
      <c r="BY89" s="1398">
        <f t="shared" si="226"/>
        <v>21.305093705369501</v>
      </c>
      <c r="BZ89" s="1398">
        <f t="shared" si="226"/>
        <v>21.375832881029339</v>
      </c>
      <c r="CA89" s="1398">
        <f t="shared" si="226"/>
        <v>21.446806931552544</v>
      </c>
      <c r="CB89" s="1398">
        <f t="shared" si="226"/>
        <v>21.492572878539132</v>
      </c>
      <c r="CC89" s="1398">
        <f t="shared" si="226"/>
        <v>21.538436486772465</v>
      </c>
      <c r="CD89" s="1398">
        <f t="shared" si="226"/>
        <v>21.584397964654634</v>
      </c>
      <c r="CE89" s="1398">
        <f t="shared" si="226"/>
        <v>21.630457521032444</v>
      </c>
      <c r="CF89" s="1398">
        <f t="shared" si="226"/>
        <v>21.676615365198366</v>
      </c>
      <c r="CG89" s="1398">
        <f t="shared" si="226"/>
        <v>21.691602524401322</v>
      </c>
      <c r="CH89" s="1398">
        <f t="shared" si="226"/>
        <v>21.706600045689747</v>
      </c>
      <c r="CI89" s="1398">
        <f t="shared" si="226"/>
        <v>21.721607936227954</v>
      </c>
      <c r="CJ89" s="1398">
        <f t="shared" si="226"/>
        <v>21.736626203185217</v>
      </c>
      <c r="CK89" s="1398">
        <f t="shared" si="226"/>
        <v>21.751654853735772</v>
      </c>
      <c r="CL89" s="1398">
        <f t="shared" si="226"/>
        <v>21.756748899145897</v>
      </c>
      <c r="CM89" s="1398">
        <f t="shared" si="226"/>
        <v>21.76184413753646</v>
      </c>
      <c r="CN89" s="1398">
        <f t="shared" si="226"/>
        <v>21.766940569186843</v>
      </c>
      <c r="CO89" s="1398">
        <f t="shared" si="226"/>
        <v>21.772038194376496</v>
      </c>
      <c r="CP89" s="1398">
        <f t="shared" si="226"/>
        <v>21.777137013384934</v>
      </c>
      <c r="CQ89" s="1398">
        <f t="shared" si="226"/>
        <v>21.784864763140046</v>
      </c>
      <c r="CR89" s="1398">
        <f t="shared" si="226"/>
        <v>21.792595255134241</v>
      </c>
      <c r="CS89" s="1398">
        <f t="shared" si="226"/>
        <v>21.800328490340622</v>
      </c>
      <c r="CT89" s="1398">
        <f t="shared" si="226"/>
        <v>21.808064469732635</v>
      </c>
      <c r="CU89" s="1398">
        <f t="shared" si="226"/>
        <v>21.815803194284069</v>
      </c>
      <c r="CV89" s="1398">
        <f t="shared" si="226"/>
        <v>21.827713124132313</v>
      </c>
      <c r="CW89" s="1398">
        <f t="shared" si="226"/>
        <v>21.839629555984068</v>
      </c>
      <c r="CX89" s="1398">
        <f t="shared" si="226"/>
        <v>21.851552493388983</v>
      </c>
      <c r="CY89" s="1398">
        <f t="shared" si="226"/>
        <v>21.863481939898644</v>
      </c>
      <c r="CZ89" s="1398">
        <f t="shared" si="226"/>
        <v>21.875417899066573</v>
      </c>
    </row>
    <row r="90" spans="1:104" ht="13" x14ac:dyDescent="0.3">
      <c r="A90" s="873" t="str">
        <f>'HyARC Physical Property Data'!A71</f>
        <v>Commercial Natural Gas</v>
      </c>
      <c r="B90" s="260">
        <v>2012</v>
      </c>
      <c r="C90" s="874">
        <f t="shared" si="221"/>
        <v>1.0589185747008452</v>
      </c>
      <c r="D90" s="1258" t="str">
        <f>'HyARC Physical Property Data'!H71</f>
        <v>mmBtu</v>
      </c>
      <c r="E90" s="874" t="s">
        <v>1058</v>
      </c>
      <c r="F90" s="260">
        <f>'HyARC Physical Property Data'!$E$6</f>
        <v>47.141269049911173</v>
      </c>
      <c r="G90" s="260">
        <f>'HyARC Physical Property Data'!$I$6</f>
        <v>52.224661236371581</v>
      </c>
      <c r="H90" s="1069">
        <v>10.902002401006685</v>
      </c>
      <c r="I90" s="1069">
        <v>10.902002401006685</v>
      </c>
      <c r="J90" s="1069">
        <v>10.902002401006685</v>
      </c>
      <c r="K90" s="1069">
        <v>10.902002401006685</v>
      </c>
      <c r="L90" s="1069">
        <v>11.622313273930342</v>
      </c>
      <c r="M90" s="1069">
        <v>8.8092072972420112</v>
      </c>
      <c r="N90" s="1069">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9">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9">
        <f>'AEO Data'!$C$30*BB90</f>
        <v>16.784073860837033</v>
      </c>
      <c r="BR90" s="260">
        <f t="shared" si="225"/>
        <v>16.880009434991543</v>
      </c>
      <c r="BS90" s="260">
        <f t="shared" si="225"/>
        <v>16.975945009146052</v>
      </c>
      <c r="BT90" s="260">
        <f t="shared" si="225"/>
        <v>17.071880583300562</v>
      </c>
      <c r="BU90" s="260">
        <f t="shared" si="225"/>
        <v>17.167816157455071</v>
      </c>
      <c r="BV90" s="963">
        <f>'AEO Data'!$D$30*BQ90</f>
        <v>17.263751731609581</v>
      </c>
      <c r="BW90" s="1398">
        <f>+BV90*BW$134/BV$134</f>
        <v>17.321072463598775</v>
      </c>
      <c r="BX90" s="1398">
        <f t="shared" ref="BX90:CZ90" si="229">+BW90*BX$134/BW$134</f>
        <v>17.378583517272784</v>
      </c>
      <c r="BY90" s="1398">
        <f t="shared" si="229"/>
        <v>17.436285524555561</v>
      </c>
      <c r="BZ90" s="1398">
        <f t="shared" si="229"/>
        <v>17.494179119469241</v>
      </c>
      <c r="CA90" s="1398">
        <f t="shared" si="229"/>
        <v>17.552264938141089</v>
      </c>
      <c r="CB90" s="1398">
        <f t="shared" si="229"/>
        <v>17.589720211982893</v>
      </c>
      <c r="CC90" s="1398">
        <f t="shared" si="229"/>
        <v>17.627255412691312</v>
      </c>
      <c r="CD90" s="1398">
        <f t="shared" si="229"/>
        <v>17.664870710824552</v>
      </c>
      <c r="CE90" s="1398">
        <f t="shared" si="229"/>
        <v>17.702566277304761</v>
      </c>
      <c r="CF90" s="1398">
        <f t="shared" si="229"/>
        <v>17.740342283418837</v>
      </c>
      <c r="CG90" s="1398">
        <f t="shared" si="229"/>
        <v>17.752607912975723</v>
      </c>
      <c r="CH90" s="1398">
        <f t="shared" si="229"/>
        <v>17.764882022959085</v>
      </c>
      <c r="CI90" s="1398">
        <f t="shared" si="229"/>
        <v>17.77716461923227</v>
      </c>
      <c r="CJ90" s="1398">
        <f t="shared" si="229"/>
        <v>17.789455707662682</v>
      </c>
      <c r="CK90" s="1398">
        <f t="shared" si="229"/>
        <v>17.801755294121772</v>
      </c>
      <c r="CL90" s="1398">
        <f t="shared" si="229"/>
        <v>17.805924307948906</v>
      </c>
      <c r="CM90" s="1398">
        <f t="shared" si="229"/>
        <v>17.810094298122248</v>
      </c>
      <c r="CN90" s="1398">
        <f t="shared" si="229"/>
        <v>17.81426526487045</v>
      </c>
      <c r="CO90" s="1398">
        <f t="shared" si="229"/>
        <v>17.818437208422218</v>
      </c>
      <c r="CP90" s="1398">
        <f t="shared" si="229"/>
        <v>17.822610129006311</v>
      </c>
      <c r="CQ90" s="1398">
        <f t="shared" si="229"/>
        <v>17.828934590801964</v>
      </c>
      <c r="CR90" s="1398">
        <f t="shared" si="229"/>
        <v>17.835261296871419</v>
      </c>
      <c r="CS90" s="1398">
        <f t="shared" si="229"/>
        <v>17.84159024801107</v>
      </c>
      <c r="CT90" s="1398">
        <f t="shared" si="229"/>
        <v>17.847921445017597</v>
      </c>
      <c r="CU90" s="1398">
        <f t="shared" si="229"/>
        <v>17.854254888687954</v>
      </c>
      <c r="CV90" s="1398">
        <f t="shared" si="229"/>
        <v>17.864002085310659</v>
      </c>
      <c r="CW90" s="1398">
        <f t="shared" si="229"/>
        <v>17.873754603233113</v>
      </c>
      <c r="CX90" s="1398">
        <f t="shared" si="229"/>
        <v>17.883512445360374</v>
      </c>
      <c r="CY90" s="1398">
        <f t="shared" si="229"/>
        <v>17.893275614599098</v>
      </c>
      <c r="CZ90" s="1398">
        <f t="shared" si="229"/>
        <v>17.903044113857518</v>
      </c>
    </row>
    <row r="91" spans="1:104" ht="13" x14ac:dyDescent="0.3">
      <c r="A91" s="873" t="str">
        <f>'HyARC Physical Property Data'!A72</f>
        <v>Industrial Natural Gas</v>
      </c>
      <c r="B91" s="260">
        <v>2012</v>
      </c>
      <c r="C91" s="874">
        <f t="shared" si="221"/>
        <v>1.0589185747008452</v>
      </c>
      <c r="D91" s="1258" t="str">
        <f>'HyARC Physical Property Data'!H72</f>
        <v>mmBtu</v>
      </c>
      <c r="E91" s="874" t="s">
        <v>1058</v>
      </c>
      <c r="F91" s="260">
        <f>'HyARC Physical Property Data'!$E$6</f>
        <v>47.141269049911173</v>
      </c>
      <c r="G91" s="260">
        <f>'HyARC Physical Property Data'!$I$6</f>
        <v>52.224661236371581</v>
      </c>
      <c r="H91" s="1069">
        <v>7.3783194821098821</v>
      </c>
      <c r="I91" s="1069">
        <v>7.3783194821098821</v>
      </c>
      <c r="J91" s="1069">
        <v>7.3783194821098821</v>
      </c>
      <c r="K91" s="1069">
        <v>7.3783194821098821</v>
      </c>
      <c r="L91" s="1069">
        <v>8.8676108815331158</v>
      </c>
      <c r="M91" s="1069">
        <v>4.0882509003775072</v>
      </c>
      <c r="N91" s="1069">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9">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9">
        <f>'AEO Data'!$C$30*BB91</f>
        <v>10.892608287193402</v>
      </c>
      <c r="BR91" s="260">
        <f t="shared" si="225"/>
        <v>10.954869013566299</v>
      </c>
      <c r="BS91" s="260">
        <f t="shared" si="225"/>
        <v>11.017129739939195</v>
      </c>
      <c r="BT91" s="260">
        <f t="shared" si="225"/>
        <v>11.079390466312091</v>
      </c>
      <c r="BU91" s="260">
        <f t="shared" si="225"/>
        <v>11.141651192684987</v>
      </c>
      <c r="BV91" s="963">
        <f>'AEO Data'!$D$30*BQ91</f>
        <v>11.203911919057887</v>
      </c>
      <c r="BW91" s="1398">
        <f>+BV91*BW$135/BV$135</f>
        <v>11.241112201031763</v>
      </c>
      <c r="BX91" s="1398">
        <f t="shared" ref="BX91:CZ91" si="232">+BW91*BX$135/BW$135</f>
        <v>11.278435998880177</v>
      </c>
      <c r="BY91" s="1398">
        <f t="shared" si="232"/>
        <v>11.315883722712151</v>
      </c>
      <c r="BZ91" s="1398">
        <f t="shared" si="232"/>
        <v>11.35345578399839</v>
      </c>
      <c r="CA91" s="1398">
        <f t="shared" si="232"/>
        <v>11.391152595575804</v>
      </c>
      <c r="CB91" s="1398">
        <f t="shared" si="232"/>
        <v>11.415460497794959</v>
      </c>
      <c r="CC91" s="1398">
        <f t="shared" si="232"/>
        <v>11.439820271333133</v>
      </c>
      <c r="CD91" s="1398">
        <f t="shared" si="232"/>
        <v>11.464232026880003</v>
      </c>
      <c r="CE91" s="1398">
        <f t="shared" si="232"/>
        <v>11.488695875361442</v>
      </c>
      <c r="CF91" s="1398">
        <f t="shared" si="232"/>
        <v>11.513211927940032</v>
      </c>
      <c r="CG91" s="1398">
        <f t="shared" si="232"/>
        <v>11.521172134697148</v>
      </c>
      <c r="CH91" s="1398">
        <f t="shared" si="232"/>
        <v>11.529137845121877</v>
      </c>
      <c r="CI91" s="1398">
        <f t="shared" si="232"/>
        <v>11.537109063019443</v>
      </c>
      <c r="CJ91" s="1398">
        <f t="shared" si="232"/>
        <v>11.545085792197696</v>
      </c>
      <c r="CK91" s="1398">
        <f t="shared" si="232"/>
        <v>11.553068036467128</v>
      </c>
      <c r="CL91" s="1398">
        <f t="shared" si="232"/>
        <v>11.55577366294014</v>
      </c>
      <c r="CM91" s="1398">
        <f t="shared" si="232"/>
        <v>11.558479923046971</v>
      </c>
      <c r="CN91" s="1398">
        <f t="shared" si="232"/>
        <v>11.56118681693601</v>
      </c>
      <c r="CO91" s="1398">
        <f t="shared" si="232"/>
        <v>11.563894344755685</v>
      </c>
      <c r="CP91" s="1398">
        <f t="shared" si="232"/>
        <v>11.566602506654455</v>
      </c>
      <c r="CQ91" s="1398">
        <f t="shared" si="232"/>
        <v>11.570706986028089</v>
      </c>
      <c r="CR91" s="1398">
        <f t="shared" si="232"/>
        <v>11.574812921901238</v>
      </c>
      <c r="CS91" s="1398">
        <f t="shared" si="232"/>
        <v>11.578920314790748</v>
      </c>
      <c r="CT91" s="1398">
        <f t="shared" si="232"/>
        <v>11.583029165213651</v>
      </c>
      <c r="CU91" s="1398">
        <f t="shared" si="232"/>
        <v>11.587139473687161</v>
      </c>
      <c r="CV91" s="1398">
        <f t="shared" si="232"/>
        <v>11.593465255829788</v>
      </c>
      <c r="CW91" s="1398">
        <f t="shared" si="232"/>
        <v>11.599794491414899</v>
      </c>
      <c r="CX91" s="1398">
        <f t="shared" si="232"/>
        <v>11.606127182327835</v>
      </c>
      <c r="CY91" s="1398">
        <f t="shared" si="232"/>
        <v>11.612463330454966</v>
      </c>
      <c r="CZ91" s="1398">
        <f t="shared" si="232"/>
        <v>11.618802937683697</v>
      </c>
    </row>
    <row r="92" spans="1:104" ht="13" x14ac:dyDescent="0.3">
      <c r="A92" s="873" t="str">
        <f>'HyARC Physical Property Data'!A74</f>
        <v>Electric Utility Natural Gas</v>
      </c>
      <c r="B92" s="260">
        <v>2012</v>
      </c>
      <c r="C92" s="874">
        <f t="shared" si="221"/>
        <v>1.0589185747008452</v>
      </c>
      <c r="D92" s="1258" t="str">
        <f>'HyARC Physical Property Data'!H74</f>
        <v>mmBtu</v>
      </c>
      <c r="E92" s="874" t="s">
        <v>1058</v>
      </c>
      <c r="F92" s="260">
        <f>'HyARC Physical Property Data'!$E$6</f>
        <v>47.141269049911173</v>
      </c>
      <c r="G92" s="260">
        <f>'HyARC Physical Property Data'!$I$6</f>
        <v>52.224661236371581</v>
      </c>
      <c r="H92" s="1069">
        <v>7.0668336992239764</v>
      </c>
      <c r="I92" s="1069">
        <v>7.0668336992239764</v>
      </c>
      <c r="J92" s="1069">
        <v>7.0668336992239764</v>
      </c>
      <c r="K92" s="1069">
        <v>7.0668336992239764</v>
      </c>
      <c r="L92" s="1069">
        <v>8.8481430201027482</v>
      </c>
      <c r="M92" s="1069">
        <v>4.0298473160863999</v>
      </c>
      <c r="N92" s="1069">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9">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9">
        <f>'AEO Data'!$C$30*BB92</f>
        <v>10.231578547272965</v>
      </c>
      <c r="BR92" s="260">
        <f t="shared" si="225"/>
        <v>10.2900609139843</v>
      </c>
      <c r="BS92" s="260">
        <f t="shared" si="225"/>
        <v>10.348543280695635</v>
      </c>
      <c r="BT92" s="260">
        <f t="shared" si="225"/>
        <v>10.40702564740697</v>
      </c>
      <c r="BU92" s="260">
        <f t="shared" si="225"/>
        <v>10.465508014118305</v>
      </c>
      <c r="BV92" s="963">
        <f>'AEO Data'!$D$30*BQ92</f>
        <v>10.523990380829638</v>
      </c>
      <c r="BW92" s="1398">
        <f>+BV92*BW$136/BV$136</f>
        <v>10.558933123372203</v>
      </c>
      <c r="BX92" s="1398">
        <f t="shared" ref="BX92:CZ92" si="235">+BW92*BX$136/BW$136</f>
        <v>10.593991886094585</v>
      </c>
      <c r="BY92" s="1398">
        <f t="shared" si="235"/>
        <v>10.6291670542179</v>
      </c>
      <c r="BZ92" s="1398">
        <f t="shared" si="235"/>
        <v>10.664459014242302</v>
      </c>
      <c r="CA92" s="1398">
        <f t="shared" si="235"/>
        <v>10.699868153951249</v>
      </c>
      <c r="CB92" s="1398">
        <f t="shared" si="235"/>
        <v>10.722700904777984</v>
      </c>
      <c r="CC92" s="1398">
        <f t="shared" si="235"/>
        <v>10.745582379056525</v>
      </c>
      <c r="CD92" s="1398">
        <f t="shared" si="235"/>
        <v>10.768512680759219</v>
      </c>
      <c r="CE92" s="1398">
        <f t="shared" si="235"/>
        <v>10.791491914080288</v>
      </c>
      <c r="CF92" s="1398">
        <f t="shared" si="235"/>
        <v>10.814520183436294</v>
      </c>
      <c r="CG92" s="1398">
        <f t="shared" si="235"/>
        <v>10.82199731641864</v>
      </c>
      <c r="CH92" s="1398">
        <f t="shared" si="235"/>
        <v>10.829479619072567</v>
      </c>
      <c r="CI92" s="1398">
        <f t="shared" si="235"/>
        <v>10.836967094972369</v>
      </c>
      <c r="CJ92" s="1398">
        <f t="shared" si="235"/>
        <v>10.84445974769482</v>
      </c>
      <c r="CK92" s="1398">
        <f t="shared" si="235"/>
        <v>10.851957580819162</v>
      </c>
      <c r="CL92" s="1398">
        <f t="shared" si="235"/>
        <v>10.854499013417151</v>
      </c>
      <c r="CM92" s="1398">
        <f t="shared" si="235"/>
        <v>10.857041041196203</v>
      </c>
      <c r="CN92" s="1398">
        <f t="shared" si="235"/>
        <v>10.859583664295704</v>
      </c>
      <c r="CO92" s="1398">
        <f t="shared" si="235"/>
        <v>10.862126882855071</v>
      </c>
      <c r="CP92" s="1398">
        <f t="shared" si="235"/>
        <v>10.864670697013759</v>
      </c>
      <c r="CQ92" s="1398">
        <f t="shared" si="235"/>
        <v>10.868526091607942</v>
      </c>
      <c r="CR92" s="1398">
        <f t="shared" si="235"/>
        <v>10.872382854312388</v>
      </c>
      <c r="CS92" s="1398">
        <f t="shared" si="235"/>
        <v>10.876240985612579</v>
      </c>
      <c r="CT92" s="1398">
        <f t="shared" si="235"/>
        <v>10.88010048599417</v>
      </c>
      <c r="CU92" s="1398">
        <f t="shared" si="235"/>
        <v>10.883961355942985</v>
      </c>
      <c r="CV92" s="1398">
        <f t="shared" si="235"/>
        <v>10.889903251140053</v>
      </c>
      <c r="CW92" s="1398">
        <f t="shared" si="235"/>
        <v>10.895848390203703</v>
      </c>
      <c r="CX92" s="1398">
        <f t="shared" si="235"/>
        <v>10.901796774904867</v>
      </c>
      <c r="CY92" s="1398">
        <f t="shared" si="235"/>
        <v>10.907748407015436</v>
      </c>
      <c r="CZ92" s="1398">
        <f t="shared" si="235"/>
        <v>10.913703288308273</v>
      </c>
    </row>
    <row r="93" spans="1:104" ht="13" x14ac:dyDescent="0.3">
      <c r="A93" s="873" t="str">
        <f>'HyARC Physical Property Data'!A75</f>
        <v>Bio Methane</v>
      </c>
      <c r="B93" s="260">
        <v>2007</v>
      </c>
      <c r="C93" s="874">
        <f t="shared" si="221"/>
        <v>1.1446359956438654</v>
      </c>
      <c r="D93" s="1258" t="str">
        <f>'HyARC Physical Property Data'!H75</f>
        <v>mmBtu</v>
      </c>
      <c r="E93" s="874" t="s">
        <v>1058</v>
      </c>
      <c r="F93" s="260">
        <f>'HyARC Physical Property Data'!$E$6</f>
        <v>47.141269049911173</v>
      </c>
      <c r="G93" s="260">
        <f>'HyARC Physical Property Data'!$I$6</f>
        <v>52.224661236371581</v>
      </c>
      <c r="H93" s="1069">
        <v>12.42654028436019</v>
      </c>
      <c r="I93" s="1069">
        <v>12.42654028436019</v>
      </c>
      <c r="J93" s="1069">
        <v>12.42654028436019</v>
      </c>
      <c r="K93" s="1069">
        <v>12.42654028436019</v>
      </c>
      <c r="L93" s="1069">
        <v>12.42654028436019</v>
      </c>
      <c r="M93" s="1069">
        <v>12.42654028436019</v>
      </c>
      <c r="N93" s="1069">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6">
        <f t="shared" si="237"/>
        <v>14.223865310797228</v>
      </c>
      <c r="BW93" s="1398">
        <f>+BV93*BW$136/BV$136</f>
        <v>14.271092726019944</v>
      </c>
      <c r="BX93" s="1398">
        <f t="shared" ref="BX93:CZ93" si="238">+BW93*BX$136/BW$136</f>
        <v>14.318476950147966</v>
      </c>
      <c r="BY93" s="1398">
        <f t="shared" si="238"/>
        <v>14.366018503832969</v>
      </c>
      <c r="BZ93" s="1398">
        <f t="shared" si="238"/>
        <v>14.413717909455341</v>
      </c>
      <c r="CA93" s="1398">
        <f t="shared" si="238"/>
        <v>14.461575691129934</v>
      </c>
      <c r="CB93" s="1398">
        <f t="shared" si="238"/>
        <v>14.49243565590395</v>
      </c>
      <c r="CC93" s="1398">
        <f t="shared" si="238"/>
        <v>14.523361473628309</v>
      </c>
      <c r="CD93" s="1398">
        <f t="shared" si="238"/>
        <v>14.554353284828478</v>
      </c>
      <c r="CE93" s="1398">
        <f t="shared" si="238"/>
        <v>14.585411230329802</v>
      </c>
      <c r="CF93" s="1398">
        <f t="shared" si="238"/>
        <v>14.616535451258134</v>
      </c>
      <c r="CG93" s="1398">
        <f t="shared" si="238"/>
        <v>14.626641288360148</v>
      </c>
      <c r="CH93" s="1398">
        <f t="shared" si="238"/>
        <v>14.636754112613382</v>
      </c>
      <c r="CI93" s="1398">
        <f t="shared" si="238"/>
        <v>14.646873928848736</v>
      </c>
      <c r="CJ93" s="1398">
        <f t="shared" si="238"/>
        <v>14.657000741900452</v>
      </c>
      <c r="CK93" s="1398">
        <f t="shared" si="238"/>
        <v>14.667134556606111</v>
      </c>
      <c r="CL93" s="1398">
        <f t="shared" si="238"/>
        <v>14.670569469948116</v>
      </c>
      <c r="CM93" s="1398">
        <f t="shared" si="238"/>
        <v>14.674005187716483</v>
      </c>
      <c r="CN93" s="1398">
        <f t="shared" si="238"/>
        <v>14.6774417100996</v>
      </c>
      <c r="CO93" s="1398">
        <f t="shared" si="238"/>
        <v>14.6808790372859</v>
      </c>
      <c r="CP93" s="1398">
        <f t="shared" si="238"/>
        <v>14.684317169463862</v>
      </c>
      <c r="CQ93" s="1398">
        <f t="shared" si="238"/>
        <v>14.689527988881515</v>
      </c>
      <c r="CR93" s="1398">
        <f t="shared" si="238"/>
        <v>14.69474065739019</v>
      </c>
      <c r="CS93" s="1398">
        <f t="shared" si="238"/>
        <v>14.699955175646044</v>
      </c>
      <c r="CT93" s="1398">
        <f t="shared" si="238"/>
        <v>14.705171544305472</v>
      </c>
      <c r="CU93" s="1398">
        <f t="shared" si="238"/>
        <v>14.710389764025104</v>
      </c>
      <c r="CV93" s="1398">
        <f t="shared" si="238"/>
        <v>14.718420626266095</v>
      </c>
      <c r="CW93" s="1398">
        <f t="shared" si="238"/>
        <v>14.726455872806168</v>
      </c>
      <c r="CX93" s="1398">
        <f t="shared" si="238"/>
        <v>14.734495506038849</v>
      </c>
      <c r="CY93" s="1398">
        <f t="shared" si="238"/>
        <v>14.74253952835897</v>
      </c>
      <c r="CZ93" s="1398">
        <f t="shared" si="238"/>
        <v>14.750587942162673</v>
      </c>
    </row>
    <row r="94" spans="1:104" ht="13" x14ac:dyDescent="0.3">
      <c r="A94" s="964" t="str">
        <f>'HyARC Physical Property Data'!A85</f>
        <v>Woody Biomass</v>
      </c>
      <c r="B94" s="260">
        <v>2005</v>
      </c>
      <c r="C94" s="874">
        <f t="shared" si="221"/>
        <v>1.2112501494873942</v>
      </c>
      <c r="D94" s="1260" t="str">
        <f>+'HyARC Physical Property Data'!$H$85</f>
        <v>kg</v>
      </c>
      <c r="E94" s="874" t="s">
        <v>1058</v>
      </c>
      <c r="F94" s="260">
        <f>'HyARC Physical Property Data'!$E$45</f>
        <v>19.551069237418005</v>
      </c>
      <c r="G94" s="260">
        <f>'HyARC Physical Property Data'!$I$45</f>
        <v>20.588656379262464</v>
      </c>
      <c r="H94" s="1069">
        <v>1.3438238843289665</v>
      </c>
      <c r="I94" s="1069">
        <v>1.3438238843289665</v>
      </c>
      <c r="J94" s="1069">
        <v>1.3438238843289665</v>
      </c>
      <c r="K94" s="1069">
        <v>1.3438238843289665</v>
      </c>
      <c r="L94" s="1069">
        <v>1.3438238843289665</v>
      </c>
      <c r="M94" s="1069">
        <v>1.3438238843289665</v>
      </c>
      <c r="N94" s="1069">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6">
        <f>4.99*($C$94)</f>
        <v>6.0441382459420971</v>
      </c>
      <c r="BW94" s="1398">
        <f>+BV94*BW$137/BV$137</f>
        <v>6.0586659764672328</v>
      </c>
      <c r="BX94" s="1398">
        <f t="shared" ref="BX94:CZ94" si="239">+BW94*BX$137/BW$137</f>
        <v>6.0732286259412112</v>
      </c>
      <c r="BY94" s="1398">
        <f t="shared" si="239"/>
        <v>6.0878262782954495</v>
      </c>
      <c r="BZ94" s="1398">
        <f t="shared" si="239"/>
        <v>6.1024590176630999</v>
      </c>
      <c r="CA94" s="1398">
        <f t="shared" si="239"/>
        <v>6.1171269283795393</v>
      </c>
      <c r="CB94" s="1398">
        <f t="shared" si="239"/>
        <v>6.1299667153690152</v>
      </c>
      <c r="CC94" s="1398">
        <f t="shared" si="239"/>
        <v>6.1428334529403346</v>
      </c>
      <c r="CD94" s="1398">
        <f t="shared" si="239"/>
        <v>6.155727197662495</v>
      </c>
      <c r="CE94" s="1398">
        <f t="shared" si="239"/>
        <v>6.1686480062232301</v>
      </c>
      <c r="CF94" s="1398">
        <f t="shared" si="239"/>
        <v>6.18159593542926</v>
      </c>
      <c r="CG94" s="1398">
        <f t="shared" si="239"/>
        <v>6.197524392005751</v>
      </c>
      <c r="CH94" s="1398">
        <f t="shared" si="239"/>
        <v>6.2134938923080965</v>
      </c>
      <c r="CI94" s="1398">
        <f t="shared" si="239"/>
        <v>6.229504542095909</v>
      </c>
      <c r="CJ94" s="1398">
        <f t="shared" si="239"/>
        <v>6.245556447401321</v>
      </c>
      <c r="CK94" s="1398">
        <f t="shared" si="239"/>
        <v>6.2616497145296828</v>
      </c>
      <c r="CL94" s="1398">
        <f t="shared" si="239"/>
        <v>6.2750522655841658</v>
      </c>
      <c r="CM94" s="1398">
        <f t="shared" si="239"/>
        <v>6.2884835037072264</v>
      </c>
      <c r="CN94" s="1398">
        <f t="shared" si="239"/>
        <v>6.3019434903011975</v>
      </c>
      <c r="CO94" s="1398">
        <f t="shared" si="239"/>
        <v>6.3154322868998385</v>
      </c>
      <c r="CP94" s="1398">
        <f t="shared" si="239"/>
        <v>6.3289499551686168</v>
      </c>
      <c r="CQ94" s="1398">
        <f t="shared" si="239"/>
        <v>6.3413225489579119</v>
      </c>
      <c r="CR94" s="1398">
        <f t="shared" si="239"/>
        <v>6.3537193301840116</v>
      </c>
      <c r="CS94" s="1398">
        <f t="shared" si="239"/>
        <v>6.3661403461314299</v>
      </c>
      <c r="CT94" s="1398">
        <f t="shared" si="239"/>
        <v>6.3785856441771198</v>
      </c>
      <c r="CU94" s="1398">
        <f t="shared" si="239"/>
        <v>6.3910552717906537</v>
      </c>
      <c r="CV94" s="1398">
        <f t="shared" si="239"/>
        <v>6.4057772391562917</v>
      </c>
      <c r="CW94" s="1398">
        <f t="shared" si="239"/>
        <v>6.4205331189689208</v>
      </c>
      <c r="CX94" s="1398">
        <f t="shared" si="239"/>
        <v>6.4353229893467718</v>
      </c>
      <c r="CY94" s="1398">
        <f t="shared" si="239"/>
        <v>6.4501469285880244</v>
      </c>
      <c r="CZ94" s="1398">
        <f t="shared" si="239"/>
        <v>6.4650050151712186</v>
      </c>
    </row>
    <row r="95" spans="1:104" ht="13" x14ac:dyDescent="0.3">
      <c r="A95" s="910" t="str">
        <f>'HyARC Physical Property Data'!A80</f>
        <v>Metallurgical Coal</v>
      </c>
      <c r="B95" s="260">
        <v>2012</v>
      </c>
      <c r="C95" s="874">
        <f t="shared" si="221"/>
        <v>1.0589185747008452</v>
      </c>
      <c r="D95" s="1259" t="str">
        <f>+'HyARC Physical Property Data'!H80</f>
        <v>kg</v>
      </c>
      <c r="E95" s="901" t="s">
        <v>1052</v>
      </c>
      <c r="F95" s="260">
        <f>'HyARC Physical Property Data'!$E$44</f>
        <v>28.610197070281195</v>
      </c>
      <c r="G95" s="260">
        <f>'HyARC Physical Property Data'!$I$44</f>
        <v>29.865267156269461</v>
      </c>
      <c r="H95" s="1070">
        <v>3.3844321322674711</v>
      </c>
      <c r="I95" s="1070">
        <v>3.3844321322674711</v>
      </c>
      <c r="J95" s="1070">
        <v>3.3844321322674711</v>
      </c>
      <c r="K95" s="1070">
        <v>3.3844321322674711</v>
      </c>
      <c r="L95" s="1070">
        <v>4.1181843560652975</v>
      </c>
      <c r="M95" s="1070">
        <v>4.3291381204071717</v>
      </c>
      <c r="N95" s="1070">
        <v>4.4025133427869543</v>
      </c>
      <c r="O95" s="965">
        <f t="shared" ref="O95:AR95" si="240">O111*($C95/mmBTU_to_GJ*$G95/$F95)</f>
        <v>7.4754647098413036</v>
      </c>
      <c r="P95" s="965">
        <f t="shared" si="240"/>
        <v>7.5961523788362539</v>
      </c>
      <c r="Q95" s="965">
        <f t="shared" si="240"/>
        <v>7.7888515723825718</v>
      </c>
      <c r="R95" s="965">
        <f t="shared" si="240"/>
        <v>7.8710115565120651</v>
      </c>
      <c r="S95" s="965">
        <f t="shared" si="240"/>
        <v>8.1298664269345355</v>
      </c>
      <c r="T95" s="965">
        <f t="shared" si="240"/>
        <v>8.3275528874219908</v>
      </c>
      <c r="U95" s="965">
        <f t="shared" si="240"/>
        <v>8.4326459175194799</v>
      </c>
      <c r="V95" s="965">
        <f t="shared" si="240"/>
        <v>8.5820072281905144</v>
      </c>
      <c r="W95" s="965">
        <f t="shared" si="240"/>
        <v>8.6973241555173413</v>
      </c>
      <c r="X95" s="965">
        <f t="shared" si="240"/>
        <v>8.8306675382480098</v>
      </c>
      <c r="Y95" s="965">
        <f t="shared" si="240"/>
        <v>8.9332721736007059</v>
      </c>
      <c r="Z95" s="965">
        <f t="shared" si="240"/>
        <v>9.0455694993887992</v>
      </c>
      <c r="AA95" s="965">
        <f t="shared" si="240"/>
        <v>9.1556508441725821</v>
      </c>
      <c r="AB95" s="965">
        <f t="shared" si="240"/>
        <v>9.2678109153452777</v>
      </c>
      <c r="AC95" s="965">
        <f t="shared" si="240"/>
        <v>9.379158984022304</v>
      </c>
      <c r="AD95" s="965">
        <f t="shared" si="240"/>
        <v>9.4759674931736608</v>
      </c>
      <c r="AE95" s="965">
        <f t="shared" si="240"/>
        <v>9.5858141430425672</v>
      </c>
      <c r="AF95" s="965">
        <f t="shared" si="240"/>
        <v>9.7090321165885385</v>
      </c>
      <c r="AG95" s="965">
        <f t="shared" si="240"/>
        <v>9.8280622527471682</v>
      </c>
      <c r="AH95" s="965">
        <f t="shared" si="240"/>
        <v>9.9673233001172399</v>
      </c>
      <c r="AI95" s="965">
        <f t="shared" si="240"/>
        <v>10.050780392749491</v>
      </c>
      <c r="AJ95" s="965">
        <f t="shared" si="240"/>
        <v>10.135476967900939</v>
      </c>
      <c r="AK95" s="965">
        <f t="shared" si="240"/>
        <v>10.225183860386949</v>
      </c>
      <c r="AL95" s="965">
        <f t="shared" si="240"/>
        <v>10.307087146953293</v>
      </c>
      <c r="AM95" s="965">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9">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9">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63">
        <f>('AEO Data'!$D$28*BQ95)</f>
        <v>11.669767881573351</v>
      </c>
      <c r="BW95" s="1398">
        <f t="shared" ref="BW95:CZ95" si="244">+BV95*BW$138/BV$138</f>
        <v>11.709222844508201</v>
      </c>
      <c r="BX95" s="1398">
        <f t="shared" si="244"/>
        <v>11.748811202906952</v>
      </c>
      <c r="BY95" s="1398">
        <f t="shared" si="244"/>
        <v>11.788533407773697</v>
      </c>
      <c r="BZ95" s="1398">
        <f t="shared" si="244"/>
        <v>11.828389911637355</v>
      </c>
      <c r="CA95" s="1398">
        <f t="shared" si="244"/>
        <v>11.868381168556825</v>
      </c>
      <c r="CB95" s="1398">
        <f t="shared" si="244"/>
        <v>11.902362207175498</v>
      </c>
      <c r="CC95" s="1398">
        <f t="shared" si="244"/>
        <v>11.936440538842751</v>
      </c>
      <c r="CD95" s="1398">
        <f t="shared" si="244"/>
        <v>11.970616442123857</v>
      </c>
      <c r="CE95" s="1398">
        <f t="shared" si="244"/>
        <v>12.004890196381666</v>
      </c>
      <c r="CF95" s="1398">
        <f t="shared" si="244"/>
        <v>12.039262081778887</v>
      </c>
      <c r="CG95" s="1398">
        <f t="shared" si="244"/>
        <v>12.065505052077379</v>
      </c>
      <c r="CH95" s="1398">
        <f t="shared" si="244"/>
        <v>12.091805226337826</v>
      </c>
      <c r="CI95" s="1398">
        <f t="shared" si="244"/>
        <v>12.118162729252409</v>
      </c>
      <c r="CJ95" s="1398">
        <f t="shared" si="244"/>
        <v>12.144577685785119</v>
      </c>
      <c r="CK95" s="1398">
        <f t="shared" si="244"/>
        <v>12.171050221172331</v>
      </c>
      <c r="CL95" s="1398">
        <f t="shared" si="244"/>
        <v>12.188996392854733</v>
      </c>
      <c r="CM95" s="1398">
        <f t="shared" si="244"/>
        <v>12.206969026105547</v>
      </c>
      <c r="CN95" s="1398">
        <f t="shared" si="244"/>
        <v>12.224968159942263</v>
      </c>
      <c r="CO95" s="1398">
        <f t="shared" si="244"/>
        <v>12.242993833439904</v>
      </c>
      <c r="CP95" s="1398">
        <f t="shared" si="244"/>
        <v>12.261046085731108</v>
      </c>
      <c r="CQ95" s="1398">
        <f t="shared" si="244"/>
        <v>12.267091502720543</v>
      </c>
      <c r="CR95" s="1398">
        <f t="shared" si="244"/>
        <v>12.273139900456183</v>
      </c>
      <c r="CS95" s="1398">
        <f t="shared" si="244"/>
        <v>12.27919128040771</v>
      </c>
      <c r="CT95" s="1398">
        <f t="shared" si="244"/>
        <v>12.285245644045531</v>
      </c>
      <c r="CU95" s="1398">
        <f t="shared" si="244"/>
        <v>12.291302992840782</v>
      </c>
      <c r="CV95" s="1398">
        <f t="shared" si="244"/>
        <v>12.282597276301862</v>
      </c>
      <c r="CW95" s="1398">
        <f t="shared" si="244"/>
        <v>12.273897725870841</v>
      </c>
      <c r="CX95" s="1398">
        <f t="shared" si="244"/>
        <v>12.26520433718037</v>
      </c>
      <c r="CY95" s="1398">
        <f t="shared" si="244"/>
        <v>12.256517105866193</v>
      </c>
      <c r="CZ95" s="1398">
        <f t="shared" si="244"/>
        <v>12.247836027567152</v>
      </c>
    </row>
    <row r="96" spans="1:104" ht="13" x14ac:dyDescent="0.3">
      <c r="A96" s="910" t="str">
        <f>'HyARC Physical Property Data'!A81</f>
        <v>Other Industrial Coal</v>
      </c>
      <c r="B96" s="260">
        <v>2012</v>
      </c>
      <c r="C96" s="874">
        <f t="shared" si="221"/>
        <v>1.0589185747008452</v>
      </c>
      <c r="D96" s="1259" t="str">
        <f>+'HyARC Physical Property Data'!H81</f>
        <v>kg</v>
      </c>
      <c r="E96" s="901" t="s">
        <v>1052</v>
      </c>
      <c r="F96" s="260">
        <f>'HyARC Physical Property Data'!$E$42</f>
        <v>22.7322030001394</v>
      </c>
      <c r="G96" s="260">
        <f>'HyARC Physical Property Data'!$I$42</f>
        <v>23.967615189707661</v>
      </c>
      <c r="H96" s="1070">
        <v>1.7045706620386931</v>
      </c>
      <c r="I96" s="1070">
        <v>1.7045706620386931</v>
      </c>
      <c r="J96" s="1070">
        <v>1.7045706620386931</v>
      </c>
      <c r="K96" s="1070">
        <v>1.7045706620386931</v>
      </c>
      <c r="L96" s="1070">
        <v>1.9454339077615519</v>
      </c>
      <c r="M96" s="1070">
        <v>2.0288096466656182</v>
      </c>
      <c r="N96" s="1070">
        <v>1.8805861108361666</v>
      </c>
      <c r="O96" s="965">
        <f t="shared" ref="O96:AR96" si="245">O112*($C96/mmBTU_to_GJ*$G96/$F96)</f>
        <v>3.5000719734406505</v>
      </c>
      <c r="P96" s="965">
        <f t="shared" si="245"/>
        <v>3.4283630486034649</v>
      </c>
      <c r="Q96" s="965">
        <f t="shared" si="245"/>
        <v>3.5082354103172322</v>
      </c>
      <c r="R96" s="965">
        <f t="shared" si="245"/>
        <v>3.4729360065765973</v>
      </c>
      <c r="S96" s="965">
        <f t="shared" si="245"/>
        <v>3.5728444520840283</v>
      </c>
      <c r="T96" s="965">
        <f t="shared" si="245"/>
        <v>3.6374683095257363</v>
      </c>
      <c r="U96" s="965">
        <f t="shared" si="245"/>
        <v>3.6626327333639828</v>
      </c>
      <c r="V96" s="965">
        <f t="shared" si="245"/>
        <v>3.7258057129267965</v>
      </c>
      <c r="W96" s="965">
        <f t="shared" si="245"/>
        <v>3.7685626924606996</v>
      </c>
      <c r="X96" s="965">
        <f t="shared" si="245"/>
        <v>3.8026038220962977</v>
      </c>
      <c r="Y96" s="965">
        <f t="shared" si="245"/>
        <v>3.8249701999011396</v>
      </c>
      <c r="Z96" s="965">
        <f t="shared" si="245"/>
        <v>3.8516352399554865</v>
      </c>
      <c r="AA96" s="965">
        <f t="shared" si="245"/>
        <v>3.8787257015323093</v>
      </c>
      <c r="AB96" s="965">
        <f t="shared" si="245"/>
        <v>3.9124059636575477</v>
      </c>
      <c r="AC96" s="965">
        <f t="shared" si="245"/>
        <v>3.9446681540411968</v>
      </c>
      <c r="AD96" s="965">
        <f t="shared" si="245"/>
        <v>3.9749376361491651</v>
      </c>
      <c r="AE96" s="965">
        <f t="shared" si="245"/>
        <v>4.0052642644317942</v>
      </c>
      <c r="AF96" s="965">
        <f t="shared" si="245"/>
        <v>4.0387455732082129</v>
      </c>
      <c r="AG96" s="965">
        <f t="shared" si="245"/>
        <v>4.0690235214161303</v>
      </c>
      <c r="AH96" s="965">
        <f t="shared" si="245"/>
        <v>4.1108047829308205</v>
      </c>
      <c r="AI96" s="965">
        <f t="shared" si="245"/>
        <v>4.1436733577233733</v>
      </c>
      <c r="AJ96" s="965">
        <f t="shared" si="245"/>
        <v>4.1746317687147547</v>
      </c>
      <c r="AK96" s="965">
        <f t="shared" si="245"/>
        <v>4.2078082978929805</v>
      </c>
      <c r="AL96" s="965">
        <f t="shared" si="245"/>
        <v>4.2335251347529512</v>
      </c>
      <c r="AM96" s="965">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9">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9">
        <f>('AEO Data'!$C$28*BB96)</f>
        <v>4.705145808410248</v>
      </c>
      <c r="BR96" s="260">
        <f t="shared" si="243"/>
        <v>4.7202300397216757</v>
      </c>
      <c r="BS96" s="260">
        <f t="shared" si="243"/>
        <v>4.7353142710331033</v>
      </c>
      <c r="BT96" s="260">
        <f t="shared" si="243"/>
        <v>4.750398502344531</v>
      </c>
      <c r="BU96" s="260">
        <f t="shared" si="243"/>
        <v>4.7654827336559586</v>
      </c>
      <c r="BV96" s="963">
        <f>('AEO Data'!$D$28*BQ96)</f>
        <v>4.7805669649673872</v>
      </c>
      <c r="BW96" s="1398">
        <f t="shared" ref="BW96:CZ96" si="248">+BV96*BW$138/BV$138</f>
        <v>4.7967298479248255</v>
      </c>
      <c r="BX96" s="1398">
        <f t="shared" si="248"/>
        <v>4.8129473768661839</v>
      </c>
      <c r="BY96" s="1398">
        <f t="shared" si="248"/>
        <v>4.8292197365470884</v>
      </c>
      <c r="BZ96" s="1398">
        <f t="shared" si="248"/>
        <v>4.8455471123478153</v>
      </c>
      <c r="CA96" s="1398">
        <f t="shared" si="248"/>
        <v>4.8619296902754039</v>
      </c>
      <c r="CB96" s="1398">
        <f t="shared" si="248"/>
        <v>4.8758501583004978</v>
      </c>
      <c r="CC96" s="1398">
        <f t="shared" si="248"/>
        <v>4.8898104828110576</v>
      </c>
      <c r="CD96" s="1398">
        <f t="shared" si="248"/>
        <v>4.9038107779224589</v>
      </c>
      <c r="CE96" s="1398">
        <f t="shared" si="248"/>
        <v>4.9178511580768074</v>
      </c>
      <c r="CF96" s="1398">
        <f t="shared" si="248"/>
        <v>4.9319317380438736</v>
      </c>
      <c r="CG96" s="1398">
        <f t="shared" si="248"/>
        <v>4.9426822755134054</v>
      </c>
      <c r="CH96" s="1398">
        <f t="shared" si="248"/>
        <v>4.9534562468141461</v>
      </c>
      <c r="CI96" s="1398">
        <f t="shared" si="248"/>
        <v>4.9642537030267464</v>
      </c>
      <c r="CJ96" s="1398">
        <f t="shared" si="248"/>
        <v>4.9750746953432019</v>
      </c>
      <c r="CK96" s="1398">
        <f t="shared" si="248"/>
        <v>4.9859192750670944</v>
      </c>
      <c r="CL96" s="1398">
        <f t="shared" si="248"/>
        <v>4.993270995886494</v>
      </c>
      <c r="CM96" s="1398">
        <f t="shared" si="248"/>
        <v>5.0006335567929519</v>
      </c>
      <c r="CN96" s="1398">
        <f t="shared" si="248"/>
        <v>5.0080069737701391</v>
      </c>
      <c r="CO96" s="1398">
        <f t="shared" si="248"/>
        <v>5.015391262825295</v>
      </c>
      <c r="CP96" s="1398">
        <f t="shared" si="248"/>
        <v>5.0227864399892601</v>
      </c>
      <c r="CQ96" s="1398">
        <f t="shared" si="248"/>
        <v>5.0252629691749675</v>
      </c>
      <c r="CR96" s="1398">
        <f t="shared" si="248"/>
        <v>5.0277407194352479</v>
      </c>
      <c r="CS96" s="1398">
        <f t="shared" si="248"/>
        <v>5.0302196913721628</v>
      </c>
      <c r="CT96" s="1398">
        <f t="shared" si="248"/>
        <v>5.0326998855880705</v>
      </c>
      <c r="CU96" s="1398">
        <f t="shared" si="248"/>
        <v>5.0351813026856274</v>
      </c>
      <c r="CV96" s="1398">
        <f t="shared" si="248"/>
        <v>5.0316149711771789</v>
      </c>
      <c r="CW96" s="1398">
        <f t="shared" si="248"/>
        <v>5.0280511656394289</v>
      </c>
      <c r="CX96" s="1398">
        <f t="shared" si="248"/>
        <v>5.024489884283275</v>
      </c>
      <c r="CY96" s="1398">
        <f t="shared" si="248"/>
        <v>5.0209311253208835</v>
      </c>
      <c r="CZ96" s="1398">
        <f t="shared" si="248"/>
        <v>5.0173748869656869</v>
      </c>
    </row>
    <row r="97" spans="1:104" ht="13" x14ac:dyDescent="0.3">
      <c r="A97" s="910" t="str">
        <f>'HyARC Physical Property Data'!A79</f>
        <v>Electric Utility Steam Coal</v>
      </c>
      <c r="B97" s="260">
        <v>2012</v>
      </c>
      <c r="C97" s="874">
        <f t="shared" si="221"/>
        <v>1.0589185747008452</v>
      </c>
      <c r="D97" s="1260" t="str">
        <f>+'HyARC Physical Property Data'!$H$79</f>
        <v>kg</v>
      </c>
      <c r="E97" s="901" t="s">
        <v>1052</v>
      </c>
      <c r="F97" s="260">
        <f>'HyARC Physical Property Data'!$E$42</f>
        <v>22.7322030001394</v>
      </c>
      <c r="G97" s="260">
        <f>'HyARC Physical Property Data'!$I$42</f>
        <v>23.967615189707661</v>
      </c>
      <c r="H97" s="1069">
        <v>1.6675147780813302</v>
      </c>
      <c r="I97" s="1069">
        <v>1.6675147780813302</v>
      </c>
      <c r="J97" s="1069">
        <v>1.6675147780813302</v>
      </c>
      <c r="K97" s="1069">
        <v>1.6675147780813302</v>
      </c>
      <c r="L97" s="1069">
        <v>1.899114052814848</v>
      </c>
      <c r="M97" s="1069">
        <v>1.9917537627082553</v>
      </c>
      <c r="N97" s="1069">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9">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9">
        <f>('AEO Data'!$C$28*BB97)</f>
        <v>3.5615609910697135</v>
      </c>
      <c r="BR97" s="260">
        <f t="shared" si="243"/>
        <v>3.5729790027545003</v>
      </c>
      <c r="BS97" s="260">
        <f t="shared" si="243"/>
        <v>3.5843970144392872</v>
      </c>
      <c r="BT97" s="260">
        <f t="shared" si="243"/>
        <v>3.595815026124074</v>
      </c>
      <c r="BU97" s="260">
        <f t="shared" si="243"/>
        <v>3.6072330378088608</v>
      </c>
      <c r="BV97" s="963">
        <f>('AEO Data'!$D$28*BQ97)</f>
        <v>3.6186510494936472</v>
      </c>
      <c r="BW97" s="1398">
        <f t="shared" ref="BW97:CZ97" si="252">+BV97*BW$138/BV$138</f>
        <v>3.6308855467416481</v>
      </c>
      <c r="BX97" s="1398">
        <f t="shared" si="252"/>
        <v>3.6431614082772978</v>
      </c>
      <c r="BY97" s="1398">
        <f t="shared" si="252"/>
        <v>3.6554787739514016</v>
      </c>
      <c r="BZ97" s="1398">
        <f t="shared" si="252"/>
        <v>3.6678377840875944</v>
      </c>
      <c r="CA97" s="1398">
        <f t="shared" si="252"/>
        <v>3.6802385794839378</v>
      </c>
      <c r="CB97" s="1398">
        <f t="shared" si="252"/>
        <v>3.6907756803336049</v>
      </c>
      <c r="CC97" s="1398">
        <f t="shared" si="252"/>
        <v>3.701342950557327</v>
      </c>
      <c r="CD97" s="1398">
        <f t="shared" si="252"/>
        <v>3.7119404765347586</v>
      </c>
      <c r="CE97" s="1398">
        <f t="shared" si="252"/>
        <v>3.7225683448928724</v>
      </c>
      <c r="CF97" s="1398">
        <f t="shared" si="252"/>
        <v>3.7332266425066685</v>
      </c>
      <c r="CG97" s="1398">
        <f t="shared" si="252"/>
        <v>3.7413642638352314</v>
      </c>
      <c r="CH97" s="1398">
        <f t="shared" si="252"/>
        <v>3.7495196234066683</v>
      </c>
      <c r="CI97" s="1398">
        <f t="shared" si="252"/>
        <v>3.7576927598864862</v>
      </c>
      <c r="CJ97" s="1398">
        <f t="shared" si="252"/>
        <v>3.7658837120244759</v>
      </c>
      <c r="CK97" s="1398">
        <f t="shared" si="252"/>
        <v>3.7740925186548933</v>
      </c>
      <c r="CL97" s="1398">
        <f t="shared" si="252"/>
        <v>3.7796574050906777</v>
      </c>
      <c r="CM97" s="1398">
        <f t="shared" si="252"/>
        <v>3.785230496932368</v>
      </c>
      <c r="CN97" s="1398">
        <f t="shared" si="252"/>
        <v>3.7908118062788079</v>
      </c>
      <c r="CO97" s="1398">
        <f t="shared" si="252"/>
        <v>3.7964013452466796</v>
      </c>
      <c r="CP97" s="1398">
        <f t="shared" si="252"/>
        <v>3.8019991259705304</v>
      </c>
      <c r="CQ97" s="1398">
        <f t="shared" si="252"/>
        <v>3.803873735196305</v>
      </c>
      <c r="CR97" s="1398">
        <f t="shared" si="252"/>
        <v>3.8057492687147039</v>
      </c>
      <c r="CS97" s="1398">
        <f t="shared" si="252"/>
        <v>3.807625726981458</v>
      </c>
      <c r="CT97" s="1398">
        <f t="shared" si="252"/>
        <v>3.8095031104525217</v>
      </c>
      <c r="CU97" s="1398">
        <f t="shared" si="252"/>
        <v>3.8113814195840758</v>
      </c>
      <c r="CV97" s="1398">
        <f t="shared" si="252"/>
        <v>3.808681884288271</v>
      </c>
      <c r="CW97" s="1398">
        <f t="shared" si="252"/>
        <v>3.8059842610264538</v>
      </c>
      <c r="CX97" s="1398">
        <f t="shared" si="252"/>
        <v>3.8032885484443635</v>
      </c>
      <c r="CY97" s="1398">
        <f t="shared" si="252"/>
        <v>3.8005947451886986</v>
      </c>
      <c r="CZ97" s="1398">
        <f t="shared" si="252"/>
        <v>3.7979028499071168</v>
      </c>
    </row>
    <row r="98" spans="1:104" ht="13" x14ac:dyDescent="0.3">
      <c r="A98" s="877" t="str">
        <f>'HyARC Physical Property Data'!A76</f>
        <v>Commercial Electricity</v>
      </c>
      <c r="B98" s="260">
        <v>2012</v>
      </c>
      <c r="C98" s="874">
        <f t="shared" si="221"/>
        <v>1.0589185747008452</v>
      </c>
      <c r="D98" s="1248" t="str">
        <f>'HyARC Physical Property Data'!$H$76</f>
        <v>kWh</v>
      </c>
      <c r="E98" s="874" t="s">
        <v>1071</v>
      </c>
      <c r="F98" s="878"/>
      <c r="G98" s="874"/>
      <c r="H98" s="1069">
        <v>26.706046857142852</v>
      </c>
      <c r="I98" s="1069">
        <v>26.706046857142852</v>
      </c>
      <c r="J98" s="1069">
        <v>26.706046857142852</v>
      </c>
      <c r="K98" s="1069">
        <v>26.706046857142852</v>
      </c>
      <c r="L98" s="1069">
        <v>28.244819428571425</v>
      </c>
      <c r="M98" s="1069">
        <v>26.82655314285714</v>
      </c>
      <c r="N98" s="1069">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9">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9">
        <f>'AEO Data'!$C$33*BB98</f>
        <v>33.312642882218888</v>
      </c>
      <c r="BR98" s="260">
        <f t="shared" si="243"/>
        <v>33.29021180684974</v>
      </c>
      <c r="BS98" s="260">
        <f t="shared" si="243"/>
        <v>33.267780731480592</v>
      </c>
      <c r="BT98" s="260">
        <f t="shared" si="243"/>
        <v>33.245349656111443</v>
      </c>
      <c r="BU98" s="260">
        <f t="shared" si="243"/>
        <v>33.222918580742295</v>
      </c>
      <c r="BV98" s="963">
        <f>'AEO Data'!$D$33*BQ98</f>
        <v>33.200487505373161</v>
      </c>
      <c r="BW98" s="1398">
        <f>+BV98*BW$139/BV$139</f>
        <v>33.185869205539639</v>
      </c>
      <c r="BX98" s="1398">
        <f t="shared" ref="BX98:CZ98" si="256">+BW98*BX$139/BW$139</f>
        <v>33.171257342198651</v>
      </c>
      <c r="BY98" s="1398">
        <f t="shared" si="256"/>
        <v>33.156651912516189</v>
      </c>
      <c r="BZ98" s="1398">
        <f t="shared" si="256"/>
        <v>33.142052913659484</v>
      </c>
      <c r="CA98" s="1398">
        <f t="shared" si="256"/>
        <v>33.127460342797029</v>
      </c>
      <c r="CB98" s="1398">
        <f t="shared" si="256"/>
        <v>33.100925764400195</v>
      </c>
      <c r="CC98" s="1398">
        <f t="shared" si="256"/>
        <v>33.074412439786272</v>
      </c>
      <c r="CD98" s="1398">
        <f t="shared" si="256"/>
        <v>33.047920351931317</v>
      </c>
      <c r="CE98" s="1398">
        <f t="shared" si="256"/>
        <v>33.021449483825023</v>
      </c>
      <c r="CF98" s="1398">
        <f t="shared" si="256"/>
        <v>32.994999818470696</v>
      </c>
      <c r="CG98" s="1398">
        <f t="shared" si="256"/>
        <v>32.958563922192354</v>
      </c>
      <c r="CH98" s="1398">
        <f t="shared" si="256"/>
        <v>32.922168261541977</v>
      </c>
      <c r="CI98" s="1398">
        <f t="shared" si="256"/>
        <v>32.885812792087954</v>
      </c>
      <c r="CJ98" s="1398">
        <f t="shared" si="256"/>
        <v>32.849497469447741</v>
      </c>
      <c r="CK98" s="1398">
        <f t="shared" si="256"/>
        <v>32.81322224928779</v>
      </c>
      <c r="CL98" s="1398">
        <f t="shared" si="256"/>
        <v>32.773673393987664</v>
      </c>
      <c r="CM98" s="1398">
        <f t="shared" si="256"/>
        <v>32.734172205812207</v>
      </c>
      <c r="CN98" s="1398">
        <f t="shared" si="256"/>
        <v>32.694718627309562</v>
      </c>
      <c r="CO98" s="1398">
        <f t="shared" si="256"/>
        <v>32.65531260109713</v>
      </c>
      <c r="CP98" s="1398">
        <f t="shared" si="256"/>
        <v>32.615954069861473</v>
      </c>
      <c r="CQ98" s="1398">
        <f t="shared" si="256"/>
        <v>32.57036661325251</v>
      </c>
      <c r="CR98" s="1398">
        <f t="shared" si="256"/>
        <v>32.524842874423982</v>
      </c>
      <c r="CS98" s="1398">
        <f t="shared" si="256"/>
        <v>32.479382764317279</v>
      </c>
      <c r="CT98" s="1398">
        <f t="shared" si="256"/>
        <v>32.433986193998265</v>
      </c>
      <c r="CU98" s="1398">
        <f t="shared" si="256"/>
        <v>32.388653074657114</v>
      </c>
      <c r="CV98" s="1398">
        <f t="shared" si="256"/>
        <v>32.344399879459552</v>
      </c>
      <c r="CW98" s="1398">
        <f t="shared" si="256"/>
        <v>32.300207148193003</v>
      </c>
      <c r="CX98" s="1398">
        <f t="shared" si="256"/>
        <v>32.256074798244526</v>
      </c>
      <c r="CY98" s="1398">
        <f t="shared" si="256"/>
        <v>32.212002747114042</v>
      </c>
      <c r="CZ98" s="1398">
        <f t="shared" si="256"/>
        <v>32.167990912414197</v>
      </c>
    </row>
    <row r="99" spans="1:104" ht="13" x14ac:dyDescent="0.3">
      <c r="A99" s="877" t="str">
        <f>'HyARC Physical Property Data'!A77</f>
        <v>Industrial Electricity</v>
      </c>
      <c r="B99" s="260">
        <v>2012</v>
      </c>
      <c r="C99" s="874">
        <f t="shared" si="221"/>
        <v>1.0589185747008452</v>
      </c>
      <c r="D99" s="1248" t="str">
        <f>'HyARC Physical Property Data'!$H$77</f>
        <v>kWh</v>
      </c>
      <c r="E99" s="874" t="s">
        <v>1071</v>
      </c>
      <c r="F99" s="885"/>
      <c r="G99" s="222"/>
      <c r="H99" s="1069">
        <v>17.630996571428568</v>
      </c>
      <c r="I99" s="1069">
        <v>17.630996571428568</v>
      </c>
      <c r="J99" s="1069">
        <v>17.630996571428568</v>
      </c>
      <c r="K99" s="1069">
        <v>17.630996571428568</v>
      </c>
      <c r="L99" s="1069">
        <v>18.734092571428569</v>
      </c>
      <c r="M99" s="1069">
        <v>18.576507428571425</v>
      </c>
      <c r="N99" s="1069">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9">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9">
        <f>'AEO Data'!$C$33*BB99</f>
        <v>23.863725395110453</v>
      </c>
      <c r="BR99" s="260">
        <f t="shared" si="243"/>
        <v>23.847656750397427</v>
      </c>
      <c r="BS99" s="260">
        <f t="shared" si="243"/>
        <v>23.8315881056844</v>
      </c>
      <c r="BT99" s="260">
        <f t="shared" si="243"/>
        <v>23.815519460971373</v>
      </c>
      <c r="BU99" s="260">
        <f t="shared" si="243"/>
        <v>23.799450816258346</v>
      </c>
      <c r="BV99" s="963">
        <f>'AEO Data'!$D$33*BQ99</f>
        <v>23.783382171545323</v>
      </c>
      <c r="BW99" s="1398">
        <f>+BV99*BW$140/BV$140</f>
        <v>23.79056855003947</v>
      </c>
      <c r="BX99" s="1398">
        <f t="shared" ref="BX99:CZ99" si="260">+BW99*BX$140/BW$140</f>
        <v>23.797757099967246</v>
      </c>
      <c r="BY99" s="1398">
        <f t="shared" si="260"/>
        <v>23.804947821984772</v>
      </c>
      <c r="BZ99" s="1398">
        <f t="shared" si="260"/>
        <v>23.812140716748367</v>
      </c>
      <c r="CA99" s="1398">
        <f t="shared" si="260"/>
        <v>23.819335784914539</v>
      </c>
      <c r="CB99" s="1398">
        <f t="shared" si="260"/>
        <v>23.816642001078176</v>
      </c>
      <c r="CC99" s="1398">
        <f t="shared" si="260"/>
        <v>23.813948521888062</v>
      </c>
      <c r="CD99" s="1398">
        <f t="shared" si="260"/>
        <v>23.811255347309746</v>
      </c>
      <c r="CE99" s="1398">
        <f t="shared" si="260"/>
        <v>23.808562477308776</v>
      </c>
      <c r="CF99" s="1398">
        <f t="shared" si="260"/>
        <v>23.805869911850717</v>
      </c>
      <c r="CG99" s="1398">
        <f t="shared" si="260"/>
        <v>23.795071358532098</v>
      </c>
      <c r="CH99" s="1398">
        <f t="shared" si="260"/>
        <v>23.784277703532847</v>
      </c>
      <c r="CI99" s="1398">
        <f t="shared" si="260"/>
        <v>23.773488944631048</v>
      </c>
      <c r="CJ99" s="1398">
        <f t="shared" si="260"/>
        <v>23.762705079605791</v>
      </c>
      <c r="CK99" s="1398">
        <f t="shared" si="260"/>
        <v>23.751926106237168</v>
      </c>
      <c r="CL99" s="1398">
        <f t="shared" si="260"/>
        <v>23.738702519984074</v>
      </c>
      <c r="CM99" s="1398">
        <f t="shared" si="260"/>
        <v>23.725486295796383</v>
      </c>
      <c r="CN99" s="1398">
        <f t="shared" si="260"/>
        <v>23.712277429575355</v>
      </c>
      <c r="CO99" s="1398">
        <f t="shared" si="260"/>
        <v>23.699075917224537</v>
      </c>
      <c r="CP99" s="1398">
        <f t="shared" si="260"/>
        <v>23.685881754649749</v>
      </c>
      <c r="CQ99" s="1398">
        <f t="shared" si="260"/>
        <v>23.667805095398695</v>
      </c>
      <c r="CR99" s="1398">
        <f t="shared" si="260"/>
        <v>23.649742231944352</v>
      </c>
      <c r="CS99" s="1398">
        <f t="shared" si="260"/>
        <v>23.631693153758011</v>
      </c>
      <c r="CT99" s="1398">
        <f t="shared" si="260"/>
        <v>23.613657850318987</v>
      </c>
      <c r="CU99" s="1398">
        <f t="shared" si="260"/>
        <v>23.595636311114628</v>
      </c>
      <c r="CV99" s="1398">
        <f t="shared" si="260"/>
        <v>23.578692647144699</v>
      </c>
      <c r="CW99" s="1398">
        <f t="shared" si="260"/>
        <v>23.561761150159583</v>
      </c>
      <c r="CX99" s="1398">
        <f t="shared" si="260"/>
        <v>23.544841811422359</v>
      </c>
      <c r="CY99" s="1398">
        <f t="shared" si="260"/>
        <v>23.527934622202373</v>
      </c>
      <c r="CZ99" s="1398">
        <f t="shared" si="260"/>
        <v>23.511039573775246</v>
      </c>
    </row>
    <row r="100" spans="1:104" ht="13.5" thickBot="1" x14ac:dyDescent="0.35">
      <c r="A100" s="879" t="str">
        <f>'HyARC Physical Property Data'!A78</f>
        <v>Residential Electricity</v>
      </c>
      <c r="B100" s="880">
        <v>2012</v>
      </c>
      <c r="C100" s="881">
        <f t="shared" si="221"/>
        <v>1.0589185747008452</v>
      </c>
      <c r="D100" s="1249" t="str">
        <f>'HyARC Physical Property Data'!$H$78</f>
        <v>kWh</v>
      </c>
      <c r="E100" s="881" t="s">
        <v>1071</v>
      </c>
      <c r="F100" s="886"/>
      <c r="G100" s="569"/>
      <c r="H100" s="1071">
        <v>29.496230857142855</v>
      </c>
      <c r="I100" s="1071">
        <v>29.496230857142855</v>
      </c>
      <c r="J100" s="1071">
        <v>29.496230857142855</v>
      </c>
      <c r="K100" s="1071">
        <v>29.496230857142855</v>
      </c>
      <c r="L100" s="1071">
        <v>30.858878857142852</v>
      </c>
      <c r="M100" s="1071">
        <v>29.96898628571428</v>
      </c>
      <c r="N100" s="1071">
        <v>28.680495999999998</v>
      </c>
      <c r="O100" s="880">
        <f t="shared" ref="O100:AR100" si="261">O116*($C100)</f>
        <v>37.012259165882554</v>
      </c>
      <c r="P100" s="880">
        <f t="shared" si="261"/>
        <v>36.883387716422881</v>
      </c>
      <c r="Q100" s="880">
        <f t="shared" si="261"/>
        <v>36.020153058652454</v>
      </c>
      <c r="R100" s="880">
        <f t="shared" si="261"/>
        <v>36.437036594489285</v>
      </c>
      <c r="S100" s="880">
        <f t="shared" si="261"/>
        <v>37.000471284308979</v>
      </c>
      <c r="T100" s="880">
        <f t="shared" si="261"/>
        <v>37.234901031887702</v>
      </c>
      <c r="U100" s="880">
        <f t="shared" si="261"/>
        <v>37.611895105015549</v>
      </c>
      <c r="V100" s="880">
        <f t="shared" si="261"/>
        <v>38.029256213129564</v>
      </c>
      <c r="W100" s="880">
        <f t="shared" si="261"/>
        <v>38.30980398247366</v>
      </c>
      <c r="X100" s="880">
        <f t="shared" si="261"/>
        <v>38.276616415423959</v>
      </c>
      <c r="Y100" s="880">
        <f t="shared" si="261"/>
        <v>38.186511974984086</v>
      </c>
      <c r="Z100" s="880">
        <f t="shared" si="261"/>
        <v>37.913659366922346</v>
      </c>
      <c r="AA100" s="880">
        <f t="shared" si="261"/>
        <v>37.798756112381561</v>
      </c>
      <c r="AB100" s="880">
        <f t="shared" si="261"/>
        <v>38.164246094113849</v>
      </c>
      <c r="AC100" s="880">
        <f t="shared" si="261"/>
        <v>38.270815659471751</v>
      </c>
      <c r="AD100" s="880">
        <f t="shared" si="261"/>
        <v>38.382554865311334</v>
      </c>
      <c r="AE100" s="880">
        <f t="shared" si="261"/>
        <v>38.619545078003675</v>
      </c>
      <c r="AF100" s="880">
        <f t="shared" si="261"/>
        <v>38.734851780521424</v>
      </c>
      <c r="AG100" s="880">
        <f t="shared" si="261"/>
        <v>38.88910974389097</v>
      </c>
      <c r="AH100" s="880">
        <f t="shared" si="261"/>
        <v>39.160747772347534</v>
      </c>
      <c r="AI100" s="880">
        <f t="shared" si="261"/>
        <v>39.451321382756888</v>
      </c>
      <c r="AJ100" s="880">
        <f t="shared" si="261"/>
        <v>39.535438697575401</v>
      </c>
      <c r="AK100" s="880">
        <f t="shared" si="261"/>
        <v>39.570735630425908</v>
      </c>
      <c r="AL100" s="880">
        <f t="shared" si="261"/>
        <v>39.780803897275057</v>
      </c>
      <c r="AM100" s="880">
        <f t="shared" si="261"/>
        <v>40.046078884016239</v>
      </c>
      <c r="AN100" s="880">
        <f t="shared" si="261"/>
        <v>40.326008244912707</v>
      </c>
      <c r="AO100" s="880">
        <f t="shared" si="261"/>
        <v>40.555429307633098</v>
      </c>
      <c r="AP100" s="880">
        <f t="shared" si="261"/>
        <v>40.630021649872177</v>
      </c>
      <c r="AQ100" s="880">
        <f t="shared" si="261"/>
        <v>40.855427293357288</v>
      </c>
      <c r="AR100" s="880">
        <f t="shared" si="261"/>
        <v>41.122689870263187</v>
      </c>
      <c r="AS100" s="880">
        <f t="shared" ref="AS100:BA100" si="262">($BB100-$AR100)/10+AR100</f>
        <v>40.915200036704469</v>
      </c>
      <c r="AT100" s="880">
        <f t="shared" si="262"/>
        <v>40.707710203145751</v>
      </c>
      <c r="AU100" s="880">
        <f t="shared" si="262"/>
        <v>40.500220369587034</v>
      </c>
      <c r="AV100" s="880">
        <f t="shared" si="262"/>
        <v>40.292730536028316</v>
      </c>
      <c r="AW100" s="880">
        <f t="shared" si="262"/>
        <v>40.085240702469598</v>
      </c>
      <c r="AX100" s="880">
        <f t="shared" si="262"/>
        <v>39.87775086891088</v>
      </c>
      <c r="AY100" s="880">
        <f t="shared" si="262"/>
        <v>39.670261035352162</v>
      </c>
      <c r="AZ100" s="880">
        <f t="shared" si="262"/>
        <v>39.462771201793444</v>
      </c>
      <c r="BA100" s="880">
        <f t="shared" si="262"/>
        <v>39.255281368234726</v>
      </c>
      <c r="BB100" s="968">
        <f>'AEO Data'!$B$33*AM100</f>
        <v>39.047791534675994</v>
      </c>
      <c r="BC100" s="880">
        <f t="shared" ref="BC100:BP100" si="263">($BQ100-$BB100)/15+BB100</f>
        <v>39.070541707817128</v>
      </c>
      <c r="BD100" s="880">
        <f t="shared" si="263"/>
        <v>39.093291880958262</v>
      </c>
      <c r="BE100" s="880">
        <f t="shared" si="263"/>
        <v>39.116042054099395</v>
      </c>
      <c r="BF100" s="880">
        <f t="shared" si="263"/>
        <v>39.138792227240529</v>
      </c>
      <c r="BG100" s="880">
        <f t="shared" si="263"/>
        <v>39.161542400381663</v>
      </c>
      <c r="BH100" s="880">
        <f t="shared" si="263"/>
        <v>39.184292573522796</v>
      </c>
      <c r="BI100" s="880">
        <f t="shared" si="263"/>
        <v>39.20704274666393</v>
      </c>
      <c r="BJ100" s="880">
        <f t="shared" si="263"/>
        <v>39.229792919805064</v>
      </c>
      <c r="BK100" s="880">
        <f t="shared" si="263"/>
        <v>39.252543092946198</v>
      </c>
      <c r="BL100" s="880">
        <f t="shared" si="263"/>
        <v>39.275293266087331</v>
      </c>
      <c r="BM100" s="880">
        <f t="shared" si="263"/>
        <v>39.298043439228465</v>
      </c>
      <c r="BN100" s="880">
        <f t="shared" si="263"/>
        <v>39.320793612369599</v>
      </c>
      <c r="BO100" s="880">
        <f t="shared" si="263"/>
        <v>39.343543785510732</v>
      </c>
      <c r="BP100" s="880">
        <f t="shared" si="263"/>
        <v>39.366293958651866</v>
      </c>
      <c r="BQ100" s="968">
        <f>'AEO Data'!$C$33*BB100</f>
        <v>39.389044131793007</v>
      </c>
      <c r="BR100" s="880">
        <f t="shared" si="243"/>
        <v>39.362521510313748</v>
      </c>
      <c r="BS100" s="880">
        <f t="shared" si="243"/>
        <v>39.335998888834489</v>
      </c>
      <c r="BT100" s="880">
        <f t="shared" si="243"/>
        <v>39.30947626735523</v>
      </c>
      <c r="BU100" s="880">
        <f t="shared" si="243"/>
        <v>39.28295364587597</v>
      </c>
      <c r="BV100" s="969">
        <f>'AEO Data'!$D$33*BQ100</f>
        <v>39.256431024396711</v>
      </c>
      <c r="BW100" s="1398">
        <f>+BV100*BW$141/BV$141</f>
        <v>39.239146269797381</v>
      </c>
      <c r="BX100" s="1398">
        <f t="shared" ref="BX100:CZ100" si="264">+BW100*BX$141/BW$141</f>
        <v>39.221869125740675</v>
      </c>
      <c r="BY100" s="1398">
        <f t="shared" si="264"/>
        <v>39.204599588875645</v>
      </c>
      <c r="BZ100" s="1398">
        <f t="shared" si="264"/>
        <v>39.187337655852808</v>
      </c>
      <c r="CA100" s="1398">
        <f t="shared" si="264"/>
        <v>39.170083323324171</v>
      </c>
      <c r="CB100" s="1398">
        <f t="shared" si="264"/>
        <v>39.138708698285058</v>
      </c>
      <c r="CC100" s="1398">
        <f t="shared" si="264"/>
        <v>39.107359203830633</v>
      </c>
      <c r="CD100" s="1398">
        <f t="shared" si="264"/>
        <v>39.076034819831698</v>
      </c>
      <c r="CE100" s="1398">
        <f t="shared" si="264"/>
        <v>39.044735526175167</v>
      </c>
      <c r="CF100" s="1398">
        <f t="shared" si="264"/>
        <v>39.013461302764064</v>
      </c>
      <c r="CG100" s="1398">
        <f t="shared" si="264"/>
        <v>38.970379307391816</v>
      </c>
      <c r="CH100" s="1398">
        <f t="shared" si="264"/>
        <v>38.927344886837673</v>
      </c>
      <c r="CI100" s="1398">
        <f t="shared" si="264"/>
        <v>38.884357988565462</v>
      </c>
      <c r="CJ100" s="1398">
        <f t="shared" si="264"/>
        <v>38.841418560097019</v>
      </c>
      <c r="CK100" s="1398">
        <f t="shared" si="264"/>
        <v>38.798526549012138</v>
      </c>
      <c r="CL100" s="1398">
        <f t="shared" si="264"/>
        <v>38.751763774521798</v>
      </c>
      <c r="CM100" s="1398">
        <f t="shared" si="264"/>
        <v>38.70505736189034</v>
      </c>
      <c r="CN100" s="1398">
        <f t="shared" si="264"/>
        <v>38.658407243186389</v>
      </c>
      <c r="CO100" s="1398">
        <f t="shared" si="264"/>
        <v>38.61181335056046</v>
      </c>
      <c r="CP100" s="1398">
        <f t="shared" si="264"/>
        <v>38.565275616244847</v>
      </c>
      <c r="CQ100" s="1398">
        <f t="shared" si="264"/>
        <v>38.511372767810535</v>
      </c>
      <c r="CR100" s="1398">
        <f t="shared" si="264"/>
        <v>38.457545259614896</v>
      </c>
      <c r="CS100" s="1398">
        <f t="shared" si="264"/>
        <v>38.403792986354553</v>
      </c>
      <c r="CT100" s="1398">
        <f t="shared" si="264"/>
        <v>38.350115842873322</v>
      </c>
      <c r="CU100" s="1398">
        <f t="shared" si="264"/>
        <v>38.296513724162004</v>
      </c>
      <c r="CV100" s="1398">
        <f t="shared" si="264"/>
        <v>38.244188513437287</v>
      </c>
      <c r="CW100" s="1398">
        <f t="shared" si="264"/>
        <v>38.191934795582569</v>
      </c>
      <c r="CX100" s="1398">
        <f t="shared" si="264"/>
        <v>38.139752472915873</v>
      </c>
      <c r="CY100" s="1398">
        <f t="shared" si="264"/>
        <v>38.087641447888679</v>
      </c>
      <c r="CZ100" s="1398">
        <f t="shared" si="264"/>
        <v>38.035601623085753</v>
      </c>
    </row>
    <row r="101" spans="1:104" ht="13" thickTop="1" x14ac:dyDescent="0.25">
      <c r="D101" s="1096"/>
    </row>
    <row r="102" spans="1:104" ht="13" thickBot="1" x14ac:dyDescent="0.3">
      <c r="D102" s="1096"/>
    </row>
    <row r="103" spans="1:104" s="1053" customFormat="1" ht="13" x14ac:dyDescent="0.3">
      <c r="A103" s="1049" t="s">
        <v>1159</v>
      </c>
      <c r="B103" s="1050"/>
      <c r="C103" s="1051"/>
      <c r="D103" s="1252"/>
      <c r="E103" s="1051"/>
      <c r="F103" s="1050"/>
      <c r="G103" s="1050"/>
      <c r="H103" s="1050"/>
      <c r="I103" s="1050"/>
      <c r="J103" s="1050"/>
      <c r="K103" s="1050"/>
      <c r="L103" s="1050"/>
      <c r="M103" s="1050"/>
      <c r="N103" s="1050"/>
      <c r="O103" s="1050"/>
      <c r="P103" s="1050"/>
      <c r="Q103" s="1050"/>
      <c r="R103" s="1050"/>
      <c r="S103" s="1050"/>
      <c r="T103" s="1050"/>
      <c r="U103" s="1050"/>
      <c r="V103" s="1050"/>
      <c r="W103" s="1050"/>
      <c r="X103" s="1050"/>
      <c r="Y103" s="1050"/>
      <c r="Z103" s="1050"/>
      <c r="AA103" s="1050"/>
      <c r="AB103" s="1050"/>
      <c r="AC103" s="1050"/>
      <c r="AD103" s="1050"/>
      <c r="AE103" s="1050"/>
      <c r="AF103" s="1050"/>
      <c r="AG103" s="1050"/>
      <c r="AH103" s="1050"/>
      <c r="AI103" s="1050"/>
      <c r="AJ103" s="1050"/>
      <c r="AK103" s="1050"/>
      <c r="AL103" s="1050"/>
      <c r="AM103" s="1050"/>
      <c r="AN103" s="1050"/>
      <c r="AO103" s="1050"/>
      <c r="AP103" s="1050"/>
      <c r="AQ103" s="1050"/>
      <c r="AR103" s="1050"/>
      <c r="AS103" s="1050"/>
      <c r="AT103" s="1050"/>
      <c r="AU103" s="1050"/>
      <c r="AV103" s="1050"/>
      <c r="AW103" s="1050"/>
      <c r="AX103" s="1050"/>
      <c r="AY103" s="1050"/>
      <c r="AZ103" s="1050"/>
      <c r="BA103" s="1050"/>
      <c r="BB103" s="1050"/>
      <c r="BC103" s="1050"/>
      <c r="BD103" s="1050"/>
      <c r="BE103" s="1050"/>
      <c r="BF103" s="1050"/>
      <c r="BG103" s="1050"/>
      <c r="BH103" s="1050"/>
      <c r="BI103" s="1050"/>
      <c r="BJ103" s="1050"/>
      <c r="BK103" s="1050"/>
      <c r="BL103" s="1050"/>
      <c r="BM103" s="1050"/>
      <c r="BN103" s="1050"/>
      <c r="BO103" s="1050"/>
      <c r="BP103" s="1050"/>
      <c r="BQ103" s="1050"/>
      <c r="BR103" s="1050"/>
      <c r="BS103" s="1050"/>
      <c r="BT103" s="1050"/>
      <c r="BU103" s="1050"/>
      <c r="BV103" s="1052"/>
    </row>
    <row r="104" spans="1:104" s="1053" customFormat="1" ht="13" x14ac:dyDescent="0.3">
      <c r="A104" s="1054" t="s">
        <v>1113</v>
      </c>
      <c r="B104" s="1055"/>
      <c r="C104" s="1056"/>
      <c r="D104" s="1253"/>
      <c r="E104" s="1056"/>
      <c r="F104" s="1055"/>
      <c r="G104" s="1055"/>
      <c r="H104" s="1055"/>
      <c r="I104" s="1055"/>
      <c r="J104" s="1055"/>
      <c r="K104" s="1055"/>
      <c r="L104" s="1055"/>
      <c r="M104" s="1055"/>
      <c r="N104" s="1055"/>
      <c r="O104" s="1055"/>
      <c r="P104" s="1055"/>
      <c r="Q104" s="1055"/>
      <c r="R104" s="1055"/>
      <c r="S104" s="1055"/>
      <c r="T104" s="1055"/>
      <c r="U104" s="1055"/>
      <c r="V104" s="1055"/>
      <c r="W104" s="1055"/>
      <c r="X104" s="1055"/>
      <c r="Y104" s="1055"/>
      <c r="Z104" s="1055"/>
      <c r="AA104" s="1055"/>
      <c r="AB104" s="1055"/>
      <c r="AC104" s="1055"/>
      <c r="AD104" s="1055"/>
      <c r="AE104" s="1055"/>
      <c r="AF104" s="1055"/>
      <c r="AG104" s="1055"/>
      <c r="AH104" s="1055"/>
      <c r="AI104" s="1055"/>
      <c r="AJ104" s="1055"/>
      <c r="AK104" s="1055"/>
      <c r="AL104" s="1055"/>
      <c r="AM104" s="1055"/>
      <c r="AN104" s="1055"/>
      <c r="AO104" s="1055"/>
      <c r="AP104" s="1055"/>
      <c r="AQ104" s="1055"/>
      <c r="AR104" s="1055"/>
      <c r="AS104" s="1055"/>
      <c r="AT104" s="1055"/>
      <c r="AU104" s="1055"/>
      <c r="AV104" s="1055"/>
      <c r="AW104" s="1055"/>
      <c r="AX104" s="1055"/>
      <c r="AY104" s="1055"/>
      <c r="AZ104" s="1055"/>
      <c r="BA104" s="1055"/>
      <c r="BB104" s="1055"/>
      <c r="BC104" s="1055"/>
      <c r="BD104" s="1055"/>
      <c r="BE104" s="1055"/>
      <c r="BF104" s="1055"/>
      <c r="BG104" s="1055"/>
      <c r="BH104" s="1055"/>
      <c r="BI104" s="1055"/>
      <c r="BJ104" s="1055"/>
      <c r="BK104" s="1055"/>
      <c r="BL104" s="1055"/>
      <c r="BM104" s="1055"/>
      <c r="BN104" s="1055"/>
      <c r="BO104" s="1055"/>
      <c r="BP104" s="1055"/>
      <c r="BQ104" s="1055"/>
      <c r="BR104" s="1055"/>
      <c r="BS104" s="1055"/>
      <c r="BT104" s="1055"/>
      <c r="BU104" s="1055"/>
      <c r="BV104" s="1057"/>
    </row>
    <row r="105" spans="1:104" s="1053" customFormat="1" x14ac:dyDescent="0.25">
      <c r="A105" s="1058"/>
      <c r="B105" s="1055"/>
      <c r="C105" s="1056"/>
      <c r="D105" s="1253"/>
      <c r="E105" s="1056"/>
      <c r="F105" s="1055"/>
      <c r="G105" s="1055"/>
      <c r="H105" s="1055"/>
      <c r="I105" s="1055"/>
      <c r="J105" s="1055"/>
      <c r="K105" s="1055"/>
      <c r="L105" s="1055"/>
      <c r="M105" s="1055"/>
      <c r="N105" s="1055"/>
      <c r="O105" s="1055"/>
      <c r="P105" s="1055"/>
      <c r="Q105" s="1055"/>
      <c r="R105" s="1055"/>
      <c r="S105" s="1055"/>
      <c r="T105" s="1055"/>
      <c r="U105" s="1055"/>
      <c r="V105" s="1055"/>
      <c r="W105" s="1055"/>
      <c r="X105" s="1055"/>
      <c r="Y105" s="1055"/>
      <c r="Z105" s="1055"/>
      <c r="AA105" s="1055"/>
      <c r="AB105" s="1055"/>
      <c r="AC105" s="1055"/>
      <c r="AD105" s="1055"/>
      <c r="AE105" s="1055"/>
      <c r="AF105" s="1055"/>
      <c r="AG105" s="1055"/>
      <c r="AH105" s="1055"/>
      <c r="AI105" s="1055"/>
      <c r="AJ105" s="1055"/>
      <c r="AK105" s="1055"/>
      <c r="AL105" s="1055"/>
      <c r="AM105" s="1055"/>
      <c r="AN105" s="1055"/>
      <c r="AO105" s="1055"/>
      <c r="AP105" s="1055"/>
      <c r="AQ105" s="1055"/>
      <c r="AR105" s="1055"/>
      <c r="AS105" s="1055"/>
      <c r="AT105" s="1055"/>
      <c r="AU105" s="1055"/>
      <c r="AV105" s="1055"/>
      <c r="AW105" s="1055"/>
      <c r="AX105" s="1055"/>
      <c r="AY105" s="1055"/>
      <c r="AZ105" s="1055"/>
      <c r="BA105" s="1055"/>
      <c r="BB105" s="1055"/>
      <c r="BC105" s="1055"/>
      <c r="BD105" s="1055"/>
      <c r="BE105" s="1055"/>
      <c r="BF105" s="1055"/>
      <c r="BG105" s="1055"/>
      <c r="BH105" s="1055"/>
      <c r="BI105" s="1055"/>
      <c r="BJ105" s="1055"/>
      <c r="BK105" s="1055"/>
      <c r="BL105" s="1055"/>
      <c r="BM105" s="1055"/>
      <c r="BN105" s="1055"/>
      <c r="BO105" s="1055"/>
      <c r="BP105" s="1055"/>
      <c r="BQ105" s="1055"/>
      <c r="BR105" s="1055"/>
      <c r="BS105" s="1055"/>
      <c r="BT105" s="1055"/>
      <c r="BU105" s="1055"/>
      <c r="BV105" s="1057"/>
    </row>
    <row r="106" spans="1:104" s="1053" customFormat="1" x14ac:dyDescent="0.25">
      <c r="A106" s="1058" t="s">
        <v>681</v>
      </c>
      <c r="B106" s="1055"/>
      <c r="C106" s="1056"/>
      <c r="D106" s="1253"/>
      <c r="E106" s="1056"/>
      <c r="F106" s="1055"/>
      <c r="G106" s="1055"/>
      <c r="H106" s="1055"/>
      <c r="I106" s="1055"/>
      <c r="J106" s="1055"/>
      <c r="K106" s="1055"/>
      <c r="L106" s="1055"/>
      <c r="M106" s="1055"/>
      <c r="N106" s="1055"/>
      <c r="O106" s="1059">
        <v>10.979644</v>
      </c>
      <c r="P106" s="1059">
        <v>10.458463</v>
      </c>
      <c r="Q106" s="1059">
        <v>10.386789</v>
      </c>
      <c r="R106" s="1059">
        <v>11.197535999999999</v>
      </c>
      <c r="S106" s="1059">
        <v>10.997512</v>
      </c>
      <c r="T106" s="1059">
        <v>10.684602</v>
      </c>
      <c r="U106" s="1059">
        <v>11.01057</v>
      </c>
      <c r="V106" s="1059">
        <v>11.455973999999999</v>
      </c>
      <c r="W106" s="1059">
        <v>11.627091999999999</v>
      </c>
      <c r="X106" s="1059">
        <v>11.591965</v>
      </c>
      <c r="Y106" s="1059">
        <v>11.804651</v>
      </c>
      <c r="Z106" s="1059">
        <v>11.896172</v>
      </c>
      <c r="AA106" s="1059">
        <v>12.056948999999999</v>
      </c>
      <c r="AB106" s="1059">
        <v>12.305148000000001</v>
      </c>
      <c r="AC106" s="1059">
        <v>12.475469</v>
      </c>
      <c r="AD106" s="1059">
        <v>12.579926</v>
      </c>
      <c r="AE106" s="1059">
        <v>12.716393999999999</v>
      </c>
      <c r="AF106" s="1059">
        <v>12.897914999999999</v>
      </c>
      <c r="AG106" s="1059">
        <v>13.184208999999999</v>
      </c>
      <c r="AH106" s="1059">
        <v>13.502886999999999</v>
      </c>
      <c r="AI106" s="1059">
        <v>13.64997</v>
      </c>
      <c r="AJ106" s="1059">
        <v>13.712135</v>
      </c>
      <c r="AK106" s="1059">
        <v>13.943460999999999</v>
      </c>
      <c r="AL106" s="1059">
        <v>14.339456999999999</v>
      </c>
      <c r="AM106" s="1059">
        <v>14.605688000000001</v>
      </c>
      <c r="AN106" s="1059">
        <v>14.994783</v>
      </c>
      <c r="AO106" s="1059">
        <v>15.152347000000001</v>
      </c>
      <c r="AP106" s="1059">
        <v>15.279963</v>
      </c>
      <c r="AQ106" s="1059">
        <v>15.618371</v>
      </c>
      <c r="AR106" s="1059">
        <v>15.977807</v>
      </c>
      <c r="AS106" s="1055"/>
      <c r="AT106" s="1055"/>
      <c r="AU106" s="1055"/>
      <c r="AV106" s="1055"/>
      <c r="AW106" s="1055"/>
      <c r="AX106" s="1055"/>
      <c r="AY106" s="1055"/>
      <c r="AZ106" s="1055"/>
      <c r="BA106" s="1055"/>
      <c r="BB106" s="1055"/>
      <c r="BC106" s="1055"/>
      <c r="BD106" s="1055"/>
      <c r="BE106" s="1055"/>
      <c r="BF106" s="1055"/>
      <c r="BG106" s="1055"/>
      <c r="BH106" s="1055"/>
      <c r="BI106" s="1055"/>
      <c r="BJ106" s="1055"/>
      <c r="BK106" s="1055"/>
      <c r="BL106" s="1055"/>
      <c r="BM106" s="1055"/>
      <c r="BN106" s="1055"/>
      <c r="BO106" s="1055"/>
      <c r="BP106" s="1055"/>
      <c r="BQ106" s="1055"/>
      <c r="BR106" s="1055"/>
      <c r="BS106" s="1055"/>
      <c r="BT106" s="1055"/>
      <c r="BU106" s="1055"/>
      <c r="BV106" s="1057"/>
    </row>
    <row r="107" spans="1:104" s="1053" customFormat="1" x14ac:dyDescent="0.25">
      <c r="A107" s="1058" t="s">
        <v>1085</v>
      </c>
      <c r="B107" s="1055"/>
      <c r="C107" s="1056"/>
      <c r="D107" s="1253"/>
      <c r="E107" s="1056"/>
      <c r="F107" s="1055"/>
      <c r="G107" s="1055"/>
      <c r="H107" s="1055"/>
      <c r="I107" s="1055"/>
      <c r="J107" s="1055"/>
      <c r="K107" s="1055"/>
      <c r="L107" s="1055"/>
      <c r="M107" s="1055"/>
      <c r="N107" s="1055"/>
      <c r="O107" s="1059">
        <v>8.9608349999999994</v>
      </c>
      <c r="P107" s="1059">
        <v>8.1128640000000001</v>
      </c>
      <c r="Q107" s="1059">
        <v>8.3120530000000006</v>
      </c>
      <c r="R107" s="1059">
        <v>9.0860579999999995</v>
      </c>
      <c r="S107" s="1059">
        <v>8.9185510000000008</v>
      </c>
      <c r="T107" s="1059">
        <v>8.7230709999999991</v>
      </c>
      <c r="U107" s="1059">
        <v>9.0072580000000002</v>
      </c>
      <c r="V107" s="1059">
        <v>9.4091780000000007</v>
      </c>
      <c r="W107" s="1059">
        <v>9.5464699999999993</v>
      </c>
      <c r="X107" s="1059">
        <v>9.490774</v>
      </c>
      <c r="Y107" s="1059">
        <v>9.6849690000000006</v>
      </c>
      <c r="Z107" s="1059">
        <v>9.7584820000000008</v>
      </c>
      <c r="AA107" s="1059">
        <v>9.8987529999999992</v>
      </c>
      <c r="AB107" s="1059">
        <v>10.127039999999999</v>
      </c>
      <c r="AC107" s="1059">
        <v>10.286922000000001</v>
      </c>
      <c r="AD107" s="1059">
        <v>10.380953999999999</v>
      </c>
      <c r="AE107" s="1059">
        <v>10.496881999999999</v>
      </c>
      <c r="AF107" s="1059">
        <v>10.657225</v>
      </c>
      <c r="AG107" s="1059">
        <v>10.911016</v>
      </c>
      <c r="AH107" s="1059">
        <v>11.192325</v>
      </c>
      <c r="AI107" s="1059">
        <v>11.294316</v>
      </c>
      <c r="AJ107" s="1059">
        <v>11.292712999999999</v>
      </c>
      <c r="AK107" s="1059">
        <v>11.478382999999999</v>
      </c>
      <c r="AL107" s="1059">
        <v>11.747921</v>
      </c>
      <c r="AM107" s="1059">
        <v>11.953430000000001</v>
      </c>
      <c r="AN107" s="1059">
        <v>12.263629999999999</v>
      </c>
      <c r="AO107" s="1059">
        <v>12.368285999999999</v>
      </c>
      <c r="AP107" s="1059">
        <v>12.459205000000001</v>
      </c>
      <c r="AQ107" s="1059">
        <v>12.755896</v>
      </c>
      <c r="AR107" s="1059">
        <v>13.077387</v>
      </c>
      <c r="AS107" s="1055"/>
      <c r="AT107" s="1055"/>
      <c r="AU107" s="1055"/>
      <c r="AV107" s="1055"/>
      <c r="AW107" s="1055"/>
      <c r="AX107" s="1055"/>
      <c r="AY107" s="1055"/>
      <c r="AZ107" s="1055"/>
      <c r="BA107" s="1055"/>
      <c r="BB107" s="1055"/>
      <c r="BC107" s="1055"/>
      <c r="BD107" s="1055"/>
      <c r="BE107" s="1055"/>
      <c r="BF107" s="1055"/>
      <c r="BG107" s="1055"/>
      <c r="BH107" s="1055"/>
      <c r="BI107" s="1055"/>
      <c r="BJ107" s="1055"/>
      <c r="BK107" s="1055"/>
      <c r="BL107" s="1055"/>
      <c r="BM107" s="1055"/>
      <c r="BN107" s="1055"/>
      <c r="BO107" s="1055"/>
      <c r="BP107" s="1055"/>
      <c r="BQ107" s="1055"/>
      <c r="BR107" s="1055"/>
      <c r="BS107" s="1055"/>
      <c r="BT107" s="1055"/>
      <c r="BU107" s="1055"/>
      <c r="BV107" s="1057"/>
    </row>
    <row r="108" spans="1:104" s="1053" customFormat="1" x14ac:dyDescent="0.25">
      <c r="A108" s="1058" t="s">
        <v>283</v>
      </c>
      <c r="B108" s="1055"/>
      <c r="C108" s="1056"/>
      <c r="D108" s="1253"/>
      <c r="E108" s="1056"/>
      <c r="F108" s="1055"/>
      <c r="G108" s="1055"/>
      <c r="H108" s="1055"/>
      <c r="I108" s="1055"/>
      <c r="J108" s="1055"/>
      <c r="K108" s="1055"/>
      <c r="L108" s="1055"/>
      <c r="M108" s="1055"/>
      <c r="N108" s="1055"/>
      <c r="O108" s="1059">
        <v>5.093718</v>
      </c>
      <c r="P108" s="1059">
        <v>3.77142</v>
      </c>
      <c r="Q108" s="1059">
        <v>4.594805</v>
      </c>
      <c r="R108" s="1059">
        <v>4.7995720000000004</v>
      </c>
      <c r="S108" s="1059">
        <v>4.9392990000000001</v>
      </c>
      <c r="T108" s="1059">
        <v>5.148549</v>
      </c>
      <c r="U108" s="1059">
        <v>5.425808</v>
      </c>
      <c r="V108" s="1059">
        <v>5.8458810000000003</v>
      </c>
      <c r="W108" s="1059">
        <v>5.9476060000000004</v>
      </c>
      <c r="X108" s="1059">
        <v>5.7923239999999998</v>
      </c>
      <c r="Y108" s="1059">
        <v>5.9347989999999999</v>
      </c>
      <c r="Z108" s="1059">
        <v>5.9545320000000004</v>
      </c>
      <c r="AA108" s="1059">
        <v>6.0522600000000004</v>
      </c>
      <c r="AB108" s="1059">
        <v>6.2273719999999999</v>
      </c>
      <c r="AC108" s="1059">
        <v>6.3209530000000003</v>
      </c>
      <c r="AD108" s="1059">
        <v>6.356109</v>
      </c>
      <c r="AE108" s="1059">
        <v>6.4293370000000003</v>
      </c>
      <c r="AF108" s="1059">
        <v>6.531498</v>
      </c>
      <c r="AG108" s="1059">
        <v>6.7357209999999998</v>
      </c>
      <c r="AH108" s="1059">
        <v>6.9891050000000003</v>
      </c>
      <c r="AI108" s="1059">
        <v>7.1038509999999997</v>
      </c>
      <c r="AJ108" s="1059">
        <v>7.224164</v>
      </c>
      <c r="AK108" s="1059">
        <v>7.420331</v>
      </c>
      <c r="AL108" s="1059">
        <v>7.5726420000000001</v>
      </c>
      <c r="AM108" s="1059">
        <v>7.7575940000000001</v>
      </c>
      <c r="AN108" s="1059">
        <v>8.0432100000000002</v>
      </c>
      <c r="AO108" s="1059">
        <v>8.0942129999999999</v>
      </c>
      <c r="AP108" s="1059">
        <v>8.1302479999999999</v>
      </c>
      <c r="AQ108" s="1059">
        <v>8.3372609999999998</v>
      </c>
      <c r="AR108" s="1059">
        <v>8.5934050000000006</v>
      </c>
      <c r="AS108" s="1055"/>
      <c r="AT108" s="1055"/>
      <c r="AU108" s="1055"/>
      <c r="AV108" s="1055"/>
      <c r="AW108" s="1055"/>
      <c r="AX108" s="1055"/>
      <c r="AY108" s="1055"/>
      <c r="AZ108" s="1055"/>
      <c r="BA108" s="1055"/>
      <c r="BB108" s="1055"/>
      <c r="BC108" s="1055"/>
      <c r="BD108" s="1055"/>
      <c r="BE108" s="1055"/>
      <c r="BF108" s="1055"/>
      <c r="BG108" s="1055"/>
      <c r="BH108" s="1055"/>
      <c r="BI108" s="1055"/>
      <c r="BJ108" s="1055"/>
      <c r="BK108" s="1055"/>
      <c r="BL108" s="1055"/>
      <c r="BM108" s="1055"/>
      <c r="BN108" s="1055"/>
      <c r="BO108" s="1055"/>
      <c r="BP108" s="1055"/>
      <c r="BQ108" s="1055"/>
      <c r="BR108" s="1055"/>
      <c r="BS108" s="1055"/>
      <c r="BT108" s="1055"/>
      <c r="BU108" s="1055"/>
      <c r="BV108" s="1057"/>
    </row>
    <row r="109" spans="1:104" s="1053" customFormat="1" x14ac:dyDescent="0.25">
      <c r="A109" s="1060" t="str">
        <f>'HyARC Physical Property Data'!$A$74</f>
        <v>Electric Utility Natural Gas</v>
      </c>
      <c r="B109" s="1055"/>
      <c r="C109" s="1056"/>
      <c r="D109" s="1253"/>
      <c r="E109" s="1056"/>
      <c r="F109" s="1055"/>
      <c r="G109" s="1055"/>
      <c r="H109" s="1055"/>
      <c r="I109" s="1055"/>
      <c r="J109" s="1055"/>
      <c r="K109" s="1055"/>
      <c r="L109" s="1055"/>
      <c r="M109" s="1055"/>
      <c r="N109" s="1055"/>
      <c r="O109" s="1059">
        <v>4.881901</v>
      </c>
      <c r="P109" s="1059">
        <v>3.4378730000000002</v>
      </c>
      <c r="Q109" s="1059">
        <v>4.3206319999999998</v>
      </c>
      <c r="R109" s="1059">
        <v>4.4694140000000004</v>
      </c>
      <c r="S109" s="1059">
        <v>4.4284980000000003</v>
      </c>
      <c r="T109" s="1059">
        <v>4.4748020000000004</v>
      </c>
      <c r="U109" s="1059">
        <v>4.6905669999999997</v>
      </c>
      <c r="V109" s="1059">
        <v>5.0621029999999996</v>
      </c>
      <c r="W109" s="1059">
        <v>5.1794200000000004</v>
      </c>
      <c r="X109" s="1059">
        <v>5.0744109999999996</v>
      </c>
      <c r="Y109" s="1059">
        <v>5.242337</v>
      </c>
      <c r="Z109" s="1059">
        <v>5.2943420000000003</v>
      </c>
      <c r="AA109" s="1059">
        <v>5.4200609999999996</v>
      </c>
      <c r="AB109" s="1059">
        <v>5.622217</v>
      </c>
      <c r="AC109" s="1059">
        <v>5.7577170000000004</v>
      </c>
      <c r="AD109" s="1059">
        <v>5.8140010000000002</v>
      </c>
      <c r="AE109" s="1059">
        <v>5.9051999999999998</v>
      </c>
      <c r="AF109" s="1059">
        <v>6.0276690000000004</v>
      </c>
      <c r="AG109" s="1059">
        <v>6.2437040000000001</v>
      </c>
      <c r="AH109" s="1059">
        <v>6.4934279999999998</v>
      </c>
      <c r="AI109" s="1059">
        <v>6.6170710000000001</v>
      </c>
      <c r="AJ109" s="1059">
        <v>6.726566</v>
      </c>
      <c r="AK109" s="1059">
        <v>6.9305599999999998</v>
      </c>
      <c r="AL109" s="1059">
        <v>7.0909170000000001</v>
      </c>
      <c r="AM109" s="1059">
        <v>7.286816</v>
      </c>
      <c r="AN109" s="1059">
        <v>7.5708000000000002</v>
      </c>
      <c r="AO109" s="1059">
        <v>7.630439</v>
      </c>
      <c r="AP109" s="1059">
        <v>7.6782940000000002</v>
      </c>
      <c r="AQ109" s="1059">
        <v>7.8974500000000001</v>
      </c>
      <c r="AR109" s="1059">
        <v>8.1587669999999992</v>
      </c>
      <c r="AS109" s="1055"/>
      <c r="AT109" s="1055"/>
      <c r="AU109" s="1055"/>
      <c r="AV109" s="1055"/>
      <c r="AW109" s="1055"/>
      <c r="AX109" s="1055"/>
      <c r="AY109" s="1055"/>
      <c r="AZ109" s="1055"/>
      <c r="BA109" s="1055"/>
      <c r="BB109" s="1055"/>
      <c r="BC109" s="1055"/>
      <c r="BD109" s="1055"/>
      <c r="BE109" s="1055"/>
      <c r="BF109" s="1055"/>
      <c r="BG109" s="1055"/>
      <c r="BH109" s="1055"/>
      <c r="BI109" s="1055"/>
      <c r="BJ109" s="1055"/>
      <c r="BK109" s="1055"/>
      <c r="BL109" s="1055"/>
      <c r="BM109" s="1055"/>
      <c r="BN109" s="1055"/>
      <c r="BO109" s="1055"/>
      <c r="BP109" s="1055"/>
      <c r="BQ109" s="1055"/>
      <c r="BR109" s="1055"/>
      <c r="BS109" s="1055"/>
      <c r="BT109" s="1055"/>
      <c r="BU109" s="1055"/>
      <c r="BV109" s="1057"/>
    </row>
    <row r="110" spans="1:104" s="1053" customFormat="1" x14ac:dyDescent="0.25">
      <c r="A110" s="1055" t="s">
        <v>1081</v>
      </c>
      <c r="B110" s="1055"/>
      <c r="C110" s="1056"/>
      <c r="D110" s="1253"/>
      <c r="E110" s="1056"/>
      <c r="F110" s="1055"/>
      <c r="G110" s="1055"/>
      <c r="H110" s="1055"/>
      <c r="I110" s="1055"/>
      <c r="J110" s="1055"/>
      <c r="K110" s="1055"/>
      <c r="L110" s="1055"/>
      <c r="M110" s="1055"/>
      <c r="N110" s="1055"/>
      <c r="O110" s="1059"/>
      <c r="P110" s="1059"/>
      <c r="Q110" s="1059"/>
      <c r="R110" s="1059"/>
      <c r="S110" s="1059"/>
      <c r="T110" s="1059"/>
      <c r="U110" s="1059"/>
      <c r="V110" s="1059"/>
      <c r="W110" s="1059"/>
      <c r="X110" s="1059"/>
      <c r="Y110" s="1059"/>
      <c r="Z110" s="1059"/>
      <c r="AA110" s="1059"/>
      <c r="AB110" s="1059"/>
      <c r="AC110" s="1059"/>
      <c r="AD110" s="1059"/>
      <c r="AE110" s="1059"/>
      <c r="AF110" s="1059"/>
      <c r="AG110" s="1059"/>
      <c r="AH110" s="1059"/>
      <c r="AI110" s="1059"/>
      <c r="AJ110" s="1059"/>
      <c r="AK110" s="1059"/>
      <c r="AL110" s="1059"/>
      <c r="AM110" s="1059"/>
      <c r="AN110" s="1059"/>
      <c r="AO110" s="1059"/>
      <c r="AP110" s="1059"/>
      <c r="AQ110" s="1059"/>
      <c r="AR110" s="1059"/>
      <c r="AS110" s="1055"/>
      <c r="AT110" s="1055"/>
      <c r="AU110" s="1055"/>
      <c r="AV110" s="1055"/>
      <c r="AW110" s="1055"/>
      <c r="AX110" s="1055"/>
      <c r="AY110" s="1055"/>
      <c r="AZ110" s="1055"/>
      <c r="BA110" s="1055"/>
      <c r="BB110" s="1055"/>
      <c r="BC110" s="1055"/>
      <c r="BD110" s="1055"/>
      <c r="BE110" s="1055"/>
      <c r="BF110" s="1055"/>
      <c r="BG110" s="1055"/>
      <c r="BH110" s="1055"/>
      <c r="BI110" s="1055"/>
      <c r="BJ110" s="1055"/>
      <c r="BK110" s="1055"/>
      <c r="BL110" s="1055"/>
      <c r="BM110" s="1055"/>
      <c r="BN110" s="1055"/>
      <c r="BO110" s="1055"/>
      <c r="BP110" s="1055"/>
      <c r="BQ110" s="1055"/>
      <c r="BR110" s="1055"/>
      <c r="BS110" s="1055"/>
      <c r="BT110" s="1055"/>
      <c r="BU110" s="1055"/>
      <c r="BV110" s="1057"/>
    </row>
    <row r="111" spans="1:104" s="1053" customFormat="1" x14ac:dyDescent="0.25">
      <c r="A111" s="1075" t="s">
        <v>716</v>
      </c>
      <c r="B111" s="1055"/>
      <c r="C111" s="1056"/>
      <c r="D111" s="1253"/>
      <c r="E111" s="1056"/>
      <c r="F111" s="1055"/>
      <c r="G111" s="1055"/>
      <c r="H111" s="1055"/>
      <c r="I111" s="1055"/>
      <c r="J111" s="1055"/>
      <c r="K111" s="1055"/>
      <c r="L111" s="1055"/>
      <c r="M111" s="1055"/>
      <c r="N111" s="1055"/>
      <c r="O111" s="1059">
        <v>7.1348120000000002</v>
      </c>
      <c r="P111" s="1059">
        <v>7.25</v>
      </c>
      <c r="Q111" s="1059">
        <v>7.4339180000000002</v>
      </c>
      <c r="R111" s="1059">
        <v>7.5123340000000001</v>
      </c>
      <c r="S111" s="1059">
        <v>7.7593930000000002</v>
      </c>
      <c r="T111" s="1059">
        <v>7.9480709999999997</v>
      </c>
      <c r="U111" s="1059">
        <v>8.0483750000000001</v>
      </c>
      <c r="V111" s="1059">
        <v>8.1909299999999998</v>
      </c>
      <c r="W111" s="1059">
        <v>8.3009920000000008</v>
      </c>
      <c r="X111" s="1059">
        <v>8.4282590000000006</v>
      </c>
      <c r="Y111" s="1059">
        <v>8.5261879999999994</v>
      </c>
      <c r="Z111" s="1059">
        <v>8.6333680000000008</v>
      </c>
      <c r="AA111" s="1059">
        <v>8.7384330000000006</v>
      </c>
      <c r="AB111" s="1059">
        <v>8.8454820000000005</v>
      </c>
      <c r="AC111" s="1059">
        <v>8.9517559999999996</v>
      </c>
      <c r="AD111" s="1059">
        <v>9.0441529999999997</v>
      </c>
      <c r="AE111" s="1059">
        <v>9.1489940000000001</v>
      </c>
      <c r="AF111" s="1059">
        <v>9.2665970000000009</v>
      </c>
      <c r="AG111" s="1059">
        <v>9.3802029999999998</v>
      </c>
      <c r="AH111" s="1059">
        <v>9.5131180000000004</v>
      </c>
      <c r="AI111" s="1059">
        <v>9.5927720000000001</v>
      </c>
      <c r="AJ111" s="1059">
        <v>9.6736090000000008</v>
      </c>
      <c r="AK111" s="1059">
        <v>9.7592280000000002</v>
      </c>
      <c r="AL111" s="1059">
        <v>9.8373989999999996</v>
      </c>
      <c r="AM111" s="1059">
        <v>9.9349030000000003</v>
      </c>
      <c r="AN111" s="1059">
        <v>10.012817</v>
      </c>
      <c r="AO111" s="1059">
        <v>10.10066</v>
      </c>
      <c r="AP111" s="1059">
        <v>10.107113</v>
      </c>
      <c r="AQ111" s="1059">
        <v>10.135842</v>
      </c>
      <c r="AR111" s="1059">
        <v>10.197044999999999</v>
      </c>
      <c r="AS111" s="1055"/>
      <c r="AT111" s="1055"/>
      <c r="AU111" s="1055"/>
      <c r="AV111" s="1055"/>
      <c r="AW111" s="1055"/>
      <c r="AX111" s="1055"/>
      <c r="AY111" s="1055"/>
      <c r="AZ111" s="1055"/>
      <c r="BA111" s="1055"/>
      <c r="BB111" s="1055"/>
      <c r="BC111" s="1055"/>
      <c r="BD111" s="1055"/>
      <c r="BE111" s="1055"/>
      <c r="BF111" s="1055"/>
      <c r="BG111" s="1055"/>
      <c r="BH111" s="1055"/>
      <c r="BI111" s="1055"/>
      <c r="BJ111" s="1055"/>
      <c r="BK111" s="1055"/>
      <c r="BL111" s="1055"/>
      <c r="BM111" s="1055"/>
      <c r="BN111" s="1055"/>
      <c r="BO111" s="1055"/>
      <c r="BP111" s="1055"/>
      <c r="BQ111" s="1055"/>
      <c r="BR111" s="1055"/>
      <c r="BS111" s="1055"/>
      <c r="BT111" s="1055"/>
      <c r="BU111" s="1055"/>
      <c r="BV111" s="1057"/>
    </row>
    <row r="112" spans="1:104" s="1053" customFormat="1" x14ac:dyDescent="0.25">
      <c r="A112" s="1075" t="s">
        <v>717</v>
      </c>
      <c r="B112" s="1055"/>
      <c r="C112" s="1056"/>
      <c r="D112" s="1253"/>
      <c r="E112" s="1056"/>
      <c r="F112" s="1055"/>
      <c r="G112" s="1055"/>
      <c r="H112" s="1055"/>
      <c r="I112" s="1055"/>
      <c r="J112" s="1055"/>
      <c r="K112" s="1055"/>
      <c r="L112" s="1055"/>
      <c r="M112" s="1055"/>
      <c r="N112" s="1055"/>
      <c r="O112" s="1059">
        <v>3.3073760000000001</v>
      </c>
      <c r="P112" s="1059">
        <v>3.2396150000000001</v>
      </c>
      <c r="Q112" s="1059">
        <v>3.3150900000000001</v>
      </c>
      <c r="R112" s="1059">
        <v>3.2817340000000002</v>
      </c>
      <c r="S112" s="1059">
        <v>3.3761420000000002</v>
      </c>
      <c r="T112" s="1059">
        <v>3.437208</v>
      </c>
      <c r="U112" s="1059">
        <v>3.4609869999999998</v>
      </c>
      <c r="V112" s="1059">
        <v>3.5206819999999999</v>
      </c>
      <c r="W112" s="1059">
        <v>3.5610849999999998</v>
      </c>
      <c r="X112" s="1059">
        <v>3.5932520000000001</v>
      </c>
      <c r="Y112" s="1059">
        <v>3.6143869999999998</v>
      </c>
      <c r="Z112" s="1059">
        <v>3.6395840000000002</v>
      </c>
      <c r="AA112" s="1059">
        <v>3.6651829999999999</v>
      </c>
      <c r="AB112" s="1059">
        <v>3.697009</v>
      </c>
      <c r="AC112" s="1059">
        <v>3.7274949999999998</v>
      </c>
      <c r="AD112" s="1059">
        <v>3.7560980000000002</v>
      </c>
      <c r="AE112" s="1059">
        <v>3.7847550000000001</v>
      </c>
      <c r="AF112" s="1059">
        <v>3.8163930000000001</v>
      </c>
      <c r="AG112" s="1059">
        <v>3.8450039999999999</v>
      </c>
      <c r="AH112" s="1059">
        <v>3.8844850000000002</v>
      </c>
      <c r="AI112" s="1059">
        <v>3.9155440000000001</v>
      </c>
      <c r="AJ112" s="1059">
        <v>3.944798</v>
      </c>
      <c r="AK112" s="1059">
        <v>3.9761479999999998</v>
      </c>
      <c r="AL112" s="1059">
        <v>4.0004489999999997</v>
      </c>
      <c r="AM112" s="1059">
        <v>4.0294249999999998</v>
      </c>
      <c r="AN112" s="1059">
        <v>4.0600360000000002</v>
      </c>
      <c r="AO112" s="1059">
        <v>4.0903939999999999</v>
      </c>
      <c r="AP112" s="1059">
        <v>4.1171660000000001</v>
      </c>
      <c r="AQ112" s="1059">
        <v>4.1493070000000003</v>
      </c>
      <c r="AR112" s="1059">
        <v>4.1898999999999997</v>
      </c>
      <c r="AS112" s="1055"/>
      <c r="AT112" s="1055"/>
      <c r="AU112" s="1055"/>
      <c r="AV112" s="1055"/>
      <c r="AW112" s="1055"/>
      <c r="AX112" s="1055"/>
      <c r="AY112" s="1055"/>
      <c r="AZ112" s="1055"/>
      <c r="BA112" s="1055"/>
      <c r="BB112" s="1055"/>
      <c r="BC112" s="1055"/>
      <c r="BD112" s="1055"/>
      <c r="BE112" s="1055"/>
      <c r="BF112" s="1055"/>
      <c r="BG112" s="1055"/>
      <c r="BH112" s="1055"/>
      <c r="BI112" s="1055"/>
      <c r="BJ112" s="1055"/>
      <c r="BK112" s="1055"/>
      <c r="BL112" s="1055"/>
      <c r="BM112" s="1055"/>
      <c r="BN112" s="1055"/>
      <c r="BO112" s="1055"/>
      <c r="BP112" s="1055"/>
      <c r="BQ112" s="1055"/>
      <c r="BR112" s="1055"/>
      <c r="BS112" s="1055"/>
      <c r="BT112" s="1055"/>
      <c r="BU112" s="1055"/>
      <c r="BV112" s="1057"/>
    </row>
    <row r="113" spans="1:74" s="1053" customFormat="1" x14ac:dyDescent="0.25">
      <c r="A113" s="1058" t="s">
        <v>1087</v>
      </c>
      <c r="B113" s="1055"/>
      <c r="C113" s="1056"/>
      <c r="D113" s="1253"/>
      <c r="E113" s="1056"/>
      <c r="F113" s="1055"/>
      <c r="G113" s="1055"/>
      <c r="H113" s="1055"/>
      <c r="I113" s="1055"/>
      <c r="J113" s="1055"/>
      <c r="K113" s="1055"/>
      <c r="L113" s="1055"/>
      <c r="M113" s="1055"/>
      <c r="N113" s="1055"/>
      <c r="O113" s="1059">
        <v>2.4223750000000002</v>
      </c>
      <c r="P113" s="1059">
        <v>2.39</v>
      </c>
      <c r="Q113" s="1059">
        <v>2.37385</v>
      </c>
      <c r="R113" s="1059">
        <v>2.329834</v>
      </c>
      <c r="S113" s="1059">
        <v>2.4039359999999999</v>
      </c>
      <c r="T113" s="1059">
        <v>2.422212</v>
      </c>
      <c r="U113" s="1059">
        <v>2.4863749999999998</v>
      </c>
      <c r="V113" s="1059">
        <v>2.5503130000000001</v>
      </c>
      <c r="W113" s="1059">
        <v>2.589102</v>
      </c>
      <c r="X113" s="1059">
        <v>2.6113439999999999</v>
      </c>
      <c r="Y113" s="1059">
        <v>2.6429999999999998</v>
      </c>
      <c r="Z113" s="1059">
        <v>2.675691</v>
      </c>
      <c r="AA113" s="1059">
        <v>2.7024710000000001</v>
      </c>
      <c r="AB113" s="1059">
        <v>2.7390279999999998</v>
      </c>
      <c r="AC113" s="1059">
        <v>2.7738589999999999</v>
      </c>
      <c r="AD113" s="1059">
        <v>2.807261</v>
      </c>
      <c r="AE113" s="1059">
        <v>2.8368190000000002</v>
      </c>
      <c r="AF113" s="1059">
        <v>2.8649870000000002</v>
      </c>
      <c r="AG113" s="1059">
        <v>2.8913859999999998</v>
      </c>
      <c r="AH113" s="1059">
        <v>2.9256030000000002</v>
      </c>
      <c r="AI113" s="1059">
        <v>2.9494180000000001</v>
      </c>
      <c r="AJ113" s="1059">
        <v>2.9743849999999998</v>
      </c>
      <c r="AK113" s="1059">
        <v>3.0006210000000002</v>
      </c>
      <c r="AL113" s="1059">
        <v>3.0244930000000001</v>
      </c>
      <c r="AM113" s="1059">
        <v>3.050074</v>
      </c>
      <c r="AN113" s="1059">
        <v>3.076149</v>
      </c>
      <c r="AO113" s="1059">
        <v>3.099027</v>
      </c>
      <c r="AP113" s="1059">
        <v>3.1208209999999998</v>
      </c>
      <c r="AQ113" s="1059">
        <v>3.153797</v>
      </c>
      <c r="AR113" s="1059">
        <v>3.1896749999999998</v>
      </c>
      <c r="AS113" s="1055"/>
      <c r="AT113" s="1055"/>
      <c r="AU113" s="1055"/>
      <c r="AV113" s="1055"/>
      <c r="AW113" s="1055"/>
      <c r="AX113" s="1055"/>
      <c r="AY113" s="1055"/>
      <c r="AZ113" s="1055"/>
      <c r="BA113" s="1055"/>
      <c r="BB113" s="1055"/>
      <c r="BC113" s="1055"/>
      <c r="BD113" s="1055"/>
      <c r="BE113" s="1055"/>
      <c r="BF113" s="1055"/>
      <c r="BG113" s="1055"/>
      <c r="BH113" s="1055"/>
      <c r="BI113" s="1055"/>
      <c r="BJ113" s="1055"/>
      <c r="BK113" s="1055"/>
      <c r="BL113" s="1055"/>
      <c r="BM113" s="1055"/>
      <c r="BN113" s="1055"/>
      <c r="BO113" s="1055"/>
      <c r="BP113" s="1055"/>
      <c r="BQ113" s="1055"/>
      <c r="BR113" s="1055"/>
      <c r="BS113" s="1055"/>
      <c r="BT113" s="1055"/>
      <c r="BU113" s="1055"/>
      <c r="BV113" s="1057"/>
    </row>
    <row r="114" spans="1:74" s="1053" customFormat="1" x14ac:dyDescent="0.25">
      <c r="A114" s="1058" t="s">
        <v>683</v>
      </c>
      <c r="B114" s="1055"/>
      <c r="C114" s="1056"/>
      <c r="D114" s="1253"/>
      <c r="E114" s="1056"/>
      <c r="F114" s="1055"/>
      <c r="G114" s="1055"/>
      <c r="H114" s="1055"/>
      <c r="I114" s="1055"/>
      <c r="J114" s="1055"/>
      <c r="K114" s="1055"/>
      <c r="L114" s="1055"/>
      <c r="M114" s="1055"/>
      <c r="N114" s="1055"/>
      <c r="O114" s="1059">
        <v>30.531154999999998</v>
      </c>
      <c r="P114" s="1059">
        <v>29.553346999999999</v>
      </c>
      <c r="Q114" s="1059">
        <v>29.462689999999998</v>
      </c>
      <c r="R114" s="1059">
        <v>29.619807999999999</v>
      </c>
      <c r="S114" s="1059">
        <v>29.992000999999998</v>
      </c>
      <c r="T114" s="1059">
        <v>30.137812</v>
      </c>
      <c r="U114" s="1059">
        <v>30.368880999999998</v>
      </c>
      <c r="V114" s="1059">
        <v>30.723389000000001</v>
      </c>
      <c r="W114" s="1059">
        <v>31.014326000000001</v>
      </c>
      <c r="X114" s="1059">
        <v>30.799534000000001</v>
      </c>
      <c r="Y114" s="1059">
        <v>30.631943</v>
      </c>
      <c r="Z114" s="1059">
        <v>30.294862999999999</v>
      </c>
      <c r="AA114" s="1059">
        <v>30.159492</v>
      </c>
      <c r="AB114" s="1059">
        <v>30.497467</v>
      </c>
      <c r="AC114" s="1059">
        <v>30.549484</v>
      </c>
      <c r="AD114" s="1059">
        <v>30.628119000000002</v>
      </c>
      <c r="AE114" s="1059">
        <v>30.831617000000001</v>
      </c>
      <c r="AF114" s="1059">
        <v>30.906943999999999</v>
      </c>
      <c r="AG114" s="1059">
        <v>31.016119</v>
      </c>
      <c r="AH114" s="1059">
        <v>31.259630000000001</v>
      </c>
      <c r="AI114" s="1059">
        <v>31.506346000000001</v>
      </c>
      <c r="AJ114" s="1059">
        <v>31.548763000000001</v>
      </c>
      <c r="AK114" s="1059">
        <v>31.537307999999999</v>
      </c>
      <c r="AL114" s="1059">
        <v>31.727125000000001</v>
      </c>
      <c r="AM114" s="1059">
        <v>31.983875000000001</v>
      </c>
      <c r="AN114" s="1059">
        <v>32.252009999999999</v>
      </c>
      <c r="AO114" s="1059">
        <v>32.456364000000001</v>
      </c>
      <c r="AP114" s="1059">
        <v>32.526015999999998</v>
      </c>
      <c r="AQ114" s="1059">
        <v>32.747635000000002</v>
      </c>
      <c r="AR114" s="1059">
        <v>33.007354999999997</v>
      </c>
      <c r="AS114" s="1055"/>
      <c r="AT114" s="1055"/>
      <c r="AU114" s="1055"/>
      <c r="AV114" s="1055"/>
      <c r="AW114" s="1055"/>
      <c r="AX114" s="1055"/>
      <c r="AY114" s="1055"/>
      <c r="AZ114" s="1055"/>
      <c r="BA114" s="1055"/>
      <c r="BB114" s="1055"/>
      <c r="BC114" s="1055"/>
      <c r="BD114" s="1055"/>
      <c r="BE114" s="1055"/>
      <c r="BF114" s="1055"/>
      <c r="BG114" s="1055"/>
      <c r="BH114" s="1055"/>
      <c r="BI114" s="1055"/>
      <c r="BJ114" s="1055"/>
      <c r="BK114" s="1055"/>
      <c r="BL114" s="1055"/>
      <c r="BM114" s="1055"/>
      <c r="BN114" s="1055"/>
      <c r="BO114" s="1055"/>
      <c r="BP114" s="1055"/>
      <c r="BQ114" s="1055"/>
      <c r="BR114" s="1055"/>
      <c r="BS114" s="1055"/>
      <c r="BT114" s="1055"/>
      <c r="BU114" s="1055"/>
      <c r="BV114" s="1057"/>
    </row>
    <row r="115" spans="1:74" s="1053" customFormat="1" x14ac:dyDescent="0.25">
      <c r="A115" s="1058" t="s">
        <v>698</v>
      </c>
      <c r="B115" s="1055"/>
      <c r="C115" s="1056"/>
      <c r="D115" s="1253"/>
      <c r="E115" s="1056"/>
      <c r="F115" s="1055"/>
      <c r="G115" s="1055"/>
      <c r="H115" s="1055"/>
      <c r="I115" s="1055"/>
      <c r="J115" s="1055"/>
      <c r="K115" s="1055"/>
      <c r="L115" s="1055"/>
      <c r="M115" s="1055"/>
      <c r="N115" s="1055"/>
      <c r="O115" s="1059">
        <v>20.348036</v>
      </c>
      <c r="P115" s="1059">
        <v>19.495602000000002</v>
      </c>
      <c r="Q115" s="1059">
        <v>20.081951</v>
      </c>
      <c r="R115" s="1059">
        <v>19.872589000000001</v>
      </c>
      <c r="S115" s="1059">
        <v>20.106300000000001</v>
      </c>
      <c r="T115" s="1059">
        <v>20.110336</v>
      </c>
      <c r="U115" s="1059">
        <v>20.286434</v>
      </c>
      <c r="V115" s="1059">
        <v>20.591933999999998</v>
      </c>
      <c r="W115" s="1059">
        <v>20.859487999999999</v>
      </c>
      <c r="X115" s="1059">
        <v>20.769625000000001</v>
      </c>
      <c r="Y115" s="1059">
        <v>20.751276000000001</v>
      </c>
      <c r="Z115" s="1059">
        <v>20.654140000000002</v>
      </c>
      <c r="AA115" s="1059">
        <v>20.663025000000001</v>
      </c>
      <c r="AB115" s="1059">
        <v>20.946209</v>
      </c>
      <c r="AC115" s="1059">
        <v>21.079236999999999</v>
      </c>
      <c r="AD115" s="1059">
        <v>21.236912</v>
      </c>
      <c r="AE115" s="1059">
        <v>21.461658</v>
      </c>
      <c r="AF115" s="1059">
        <v>21.586451</v>
      </c>
      <c r="AG115" s="1059">
        <v>21.737777999999999</v>
      </c>
      <c r="AH115" s="1059">
        <v>21.988303999999999</v>
      </c>
      <c r="AI115" s="1059">
        <v>22.237325999999999</v>
      </c>
      <c r="AJ115" s="1059">
        <v>22.342414999999999</v>
      </c>
      <c r="AK115" s="1059">
        <v>22.437189</v>
      </c>
      <c r="AL115" s="1059">
        <v>22.654578999999998</v>
      </c>
      <c r="AM115" s="1059">
        <v>22.911854000000002</v>
      </c>
      <c r="AN115" s="1059">
        <v>23.191139</v>
      </c>
      <c r="AO115" s="1059">
        <v>23.409314999999999</v>
      </c>
      <c r="AP115" s="1059">
        <v>23.521646</v>
      </c>
      <c r="AQ115" s="1059">
        <v>23.76399</v>
      </c>
      <c r="AR115" s="1059">
        <v>24.052772999999998</v>
      </c>
      <c r="AS115" s="1055"/>
      <c r="AT115" s="1055"/>
      <c r="AU115" s="1055"/>
      <c r="AV115" s="1055"/>
      <c r="AW115" s="1055"/>
      <c r="AX115" s="1055"/>
      <c r="AY115" s="1055"/>
      <c r="AZ115" s="1055"/>
      <c r="BA115" s="1055"/>
      <c r="BB115" s="1055"/>
      <c r="BC115" s="1055"/>
      <c r="BD115" s="1055"/>
      <c r="BE115" s="1055"/>
      <c r="BF115" s="1055"/>
      <c r="BG115" s="1055"/>
      <c r="BH115" s="1055"/>
      <c r="BI115" s="1055"/>
      <c r="BJ115" s="1055"/>
      <c r="BK115" s="1055"/>
      <c r="BL115" s="1055"/>
      <c r="BM115" s="1055"/>
      <c r="BN115" s="1055"/>
      <c r="BO115" s="1055"/>
      <c r="BP115" s="1055"/>
      <c r="BQ115" s="1055"/>
      <c r="BR115" s="1055"/>
      <c r="BS115" s="1055"/>
      <c r="BT115" s="1055"/>
      <c r="BU115" s="1055"/>
      <c r="BV115" s="1057"/>
    </row>
    <row r="116" spans="1:74" s="1053" customFormat="1" ht="13" thickBot="1" x14ac:dyDescent="0.3">
      <c r="A116" s="1062" t="s">
        <v>684</v>
      </c>
      <c r="B116" s="1063"/>
      <c r="C116" s="1064"/>
      <c r="D116" s="1064"/>
      <c r="E116" s="1064"/>
      <c r="F116" s="1063"/>
      <c r="G116" s="1063"/>
      <c r="H116" s="1063"/>
      <c r="I116" s="1063"/>
      <c r="J116" s="1063"/>
      <c r="K116" s="1063"/>
      <c r="L116" s="1063"/>
      <c r="M116" s="1063"/>
      <c r="N116" s="1063"/>
      <c r="O116" s="1065">
        <v>34.952885000000002</v>
      </c>
      <c r="P116" s="1065">
        <v>34.831184</v>
      </c>
      <c r="Q116" s="1065">
        <v>34.015979999999999</v>
      </c>
      <c r="R116" s="1065">
        <v>34.409668000000003</v>
      </c>
      <c r="S116" s="1065">
        <v>34.941752999999999</v>
      </c>
      <c r="T116" s="1065">
        <v>35.163139000000001</v>
      </c>
      <c r="U116" s="1065">
        <v>35.519157</v>
      </c>
      <c r="V116" s="1065">
        <v>35.913296000000003</v>
      </c>
      <c r="W116" s="1065">
        <v>36.178234000000003</v>
      </c>
      <c r="X116" s="1065">
        <v>36.146892999999999</v>
      </c>
      <c r="Y116" s="1065">
        <v>36.061802</v>
      </c>
      <c r="Z116" s="1065">
        <v>35.804130999999998</v>
      </c>
      <c r="AA116" s="1065">
        <v>35.695621000000003</v>
      </c>
      <c r="AB116" s="1065">
        <v>36.040774999999996</v>
      </c>
      <c r="AC116" s="1065">
        <v>36.141415000000002</v>
      </c>
      <c r="AD116" s="1065">
        <v>36.246937000000003</v>
      </c>
      <c r="AE116" s="1065">
        <v>36.470740999999997</v>
      </c>
      <c r="AF116" s="1065">
        <v>36.579631999999997</v>
      </c>
      <c r="AG116" s="1065">
        <v>36.725307000000001</v>
      </c>
      <c r="AH116" s="1065">
        <v>36.981831</v>
      </c>
      <c r="AI116" s="1065">
        <v>37.256236999999999</v>
      </c>
      <c r="AJ116" s="1065">
        <v>37.335673999999997</v>
      </c>
      <c r="AK116" s="1065">
        <v>37.369007000000003</v>
      </c>
      <c r="AL116" s="1065">
        <v>37.567386999999997</v>
      </c>
      <c r="AM116" s="1065">
        <v>37.817901999999997</v>
      </c>
      <c r="AN116" s="1065">
        <v>38.082256000000001</v>
      </c>
      <c r="AO116" s="1065">
        <v>38.298912000000001</v>
      </c>
      <c r="AP116" s="1065">
        <v>38.369354000000001</v>
      </c>
      <c r="AQ116" s="1065">
        <v>38.582217999999997</v>
      </c>
      <c r="AR116" s="1065">
        <v>38.834609999999998</v>
      </c>
      <c r="AS116" s="1063"/>
      <c r="AT116" s="1063"/>
      <c r="AU116" s="1063"/>
      <c r="AV116" s="1063"/>
      <c r="AW116" s="1063"/>
      <c r="AX116" s="1063"/>
      <c r="AY116" s="1063"/>
      <c r="AZ116" s="1063"/>
      <c r="BA116" s="1063"/>
      <c r="BB116" s="1063"/>
      <c r="BC116" s="1063"/>
      <c r="BD116" s="1063"/>
      <c r="BE116" s="1063"/>
      <c r="BF116" s="1063"/>
      <c r="BG116" s="1063"/>
      <c r="BH116" s="1063"/>
      <c r="BI116" s="1063"/>
      <c r="BJ116" s="1063"/>
      <c r="BK116" s="1063"/>
      <c r="BL116" s="1063"/>
      <c r="BM116" s="1063"/>
      <c r="BN116" s="1063"/>
      <c r="BO116" s="1063"/>
      <c r="BP116" s="1063"/>
      <c r="BQ116" s="1063"/>
      <c r="BR116" s="1063"/>
      <c r="BS116" s="1063"/>
      <c r="BT116" s="1063"/>
      <c r="BU116" s="1063"/>
      <c r="BV116" s="1066"/>
    </row>
    <row r="129" spans="1:104" ht="13" thickBot="1" x14ac:dyDescent="0.3"/>
    <row r="130" spans="1:104" ht="13" x14ac:dyDescent="0.3">
      <c r="A130" s="1382" t="s">
        <v>1290</v>
      </c>
      <c r="B130" s="1383" t="str">
        <f>"Prices are in $(" &amp; ref_year&amp;")/GJ LHV"</f>
        <v>Prices are in $(2016)/GJ LHV</v>
      </c>
      <c r="C130" s="1383"/>
      <c r="D130" s="1384"/>
      <c r="E130" s="1383"/>
      <c r="F130" s="959"/>
      <c r="G130" s="959"/>
      <c r="H130" s="959"/>
      <c r="I130" s="959"/>
      <c r="J130" s="959"/>
      <c r="K130" s="959"/>
      <c r="L130" s="959"/>
      <c r="M130" s="959"/>
      <c r="N130" s="959"/>
      <c r="O130" s="959"/>
      <c r="P130" s="959"/>
      <c r="Q130" s="959"/>
      <c r="R130" s="959"/>
      <c r="S130" s="959"/>
      <c r="T130" s="959"/>
      <c r="U130" s="959"/>
      <c r="V130" s="959"/>
      <c r="W130" s="959"/>
      <c r="X130" s="959"/>
      <c r="Y130" s="959"/>
      <c r="Z130" s="959"/>
      <c r="AA130" s="959"/>
      <c r="AB130" s="959"/>
      <c r="AC130" s="959"/>
      <c r="AD130" s="959"/>
      <c r="AE130" s="959"/>
      <c r="AF130" s="959"/>
      <c r="AG130" s="959"/>
      <c r="AH130" s="959"/>
      <c r="AI130" s="959"/>
      <c r="AJ130" s="959"/>
      <c r="AK130" s="959"/>
      <c r="AL130" s="959"/>
      <c r="AM130" s="959"/>
      <c r="AN130" s="959"/>
      <c r="AO130" s="959"/>
      <c r="AP130" s="959"/>
      <c r="AQ130" s="959"/>
      <c r="AR130" s="959"/>
      <c r="AS130" s="1385"/>
      <c r="AT130" s="1385"/>
      <c r="AU130" s="1385"/>
      <c r="AV130" s="1385"/>
      <c r="AW130" s="1385"/>
      <c r="AX130" s="1385"/>
      <c r="AY130" s="1385"/>
      <c r="AZ130" s="1385"/>
      <c r="BA130" s="1385"/>
      <c r="BB130" s="1386" t="s">
        <v>1291</v>
      </c>
      <c r="BC130" s="1387"/>
      <c r="BD130" s="1387"/>
      <c r="BE130" s="1387"/>
      <c r="BF130" s="1387"/>
      <c r="BG130" s="1387"/>
      <c r="BH130" s="1387"/>
      <c r="BI130" s="1387"/>
      <c r="BJ130" s="1387"/>
      <c r="BK130" s="1387"/>
      <c r="BL130" s="1387"/>
      <c r="BM130" s="1387"/>
      <c r="BN130" s="1387"/>
      <c r="BO130" s="1387"/>
      <c r="BP130" s="1387"/>
      <c r="BQ130" s="1387"/>
      <c r="BR130" s="1387"/>
      <c r="BS130" s="1387"/>
      <c r="BT130" s="1387"/>
      <c r="BU130" s="1387"/>
      <c r="BV130" s="1387"/>
      <c r="BW130" s="1387"/>
      <c r="BX130" s="1387"/>
      <c r="BY130" s="1387"/>
      <c r="BZ130" s="1387"/>
      <c r="CA130" s="1387"/>
      <c r="CB130" s="1387"/>
      <c r="CC130" s="1387"/>
      <c r="CD130" s="1387"/>
      <c r="CE130" s="1387"/>
      <c r="CF130" s="1387"/>
      <c r="CG130" s="1387"/>
      <c r="CH130" s="1387"/>
      <c r="CI130" s="1387"/>
      <c r="CJ130" s="1387"/>
      <c r="CK130" s="1387"/>
      <c r="CL130" s="1387"/>
      <c r="CM130" s="1387"/>
      <c r="CN130" s="1387"/>
      <c r="CO130" s="1387"/>
      <c r="CP130" s="1387"/>
      <c r="CQ130" s="1387"/>
      <c r="CR130" s="1387"/>
      <c r="CS130" s="1387"/>
      <c r="CT130" s="1387"/>
      <c r="CU130" s="1387"/>
      <c r="CV130" s="1387"/>
      <c r="CW130" s="1387"/>
      <c r="CX130" s="1387"/>
      <c r="CY130" s="1387"/>
      <c r="CZ130" s="1388"/>
    </row>
    <row r="131" spans="1:104" ht="39.5" thickBot="1" x14ac:dyDescent="0.35">
      <c r="A131" s="1389" t="s">
        <v>1084</v>
      </c>
      <c r="B131" s="1123" t="s">
        <v>678</v>
      </c>
      <c r="C131" s="1123" t="s">
        <v>679</v>
      </c>
      <c r="D131" s="1256" t="s">
        <v>690</v>
      </c>
      <c r="E131" s="1123" t="s">
        <v>691</v>
      </c>
      <c r="F131" s="1124" t="s">
        <v>680</v>
      </c>
      <c r="G131" s="1124" t="s">
        <v>692</v>
      </c>
      <c r="H131" s="889">
        <v>2004</v>
      </c>
      <c r="I131" s="889">
        <f>+H131+1</f>
        <v>2005</v>
      </c>
      <c r="J131" s="889">
        <f t="shared" ref="J131:BU131" si="265">+I131+1</f>
        <v>2006</v>
      </c>
      <c r="K131" s="889">
        <f t="shared" si="265"/>
        <v>2007</v>
      </c>
      <c r="L131" s="889">
        <f t="shared" si="265"/>
        <v>2008</v>
      </c>
      <c r="M131" s="889">
        <f t="shared" si="265"/>
        <v>2009</v>
      </c>
      <c r="N131" s="889">
        <f t="shared" si="265"/>
        <v>2010</v>
      </c>
      <c r="O131" s="889">
        <f t="shared" si="265"/>
        <v>2011</v>
      </c>
      <c r="P131" s="889">
        <f t="shared" si="265"/>
        <v>2012</v>
      </c>
      <c r="Q131" s="889">
        <f t="shared" si="265"/>
        <v>2013</v>
      </c>
      <c r="R131" s="889">
        <f t="shared" si="265"/>
        <v>2014</v>
      </c>
      <c r="S131" s="889">
        <f t="shared" si="265"/>
        <v>2015</v>
      </c>
      <c r="T131" s="889">
        <f t="shared" si="265"/>
        <v>2016</v>
      </c>
      <c r="U131" s="889">
        <f t="shared" si="265"/>
        <v>2017</v>
      </c>
      <c r="V131" s="889">
        <f t="shared" si="265"/>
        <v>2018</v>
      </c>
      <c r="W131" s="889">
        <f t="shared" si="265"/>
        <v>2019</v>
      </c>
      <c r="X131" s="889">
        <f t="shared" si="265"/>
        <v>2020</v>
      </c>
      <c r="Y131" s="889">
        <f t="shared" si="265"/>
        <v>2021</v>
      </c>
      <c r="Z131" s="889">
        <f t="shared" si="265"/>
        <v>2022</v>
      </c>
      <c r="AA131" s="889">
        <f t="shared" si="265"/>
        <v>2023</v>
      </c>
      <c r="AB131" s="889">
        <f t="shared" si="265"/>
        <v>2024</v>
      </c>
      <c r="AC131" s="889">
        <f t="shared" si="265"/>
        <v>2025</v>
      </c>
      <c r="AD131" s="889">
        <f t="shared" si="265"/>
        <v>2026</v>
      </c>
      <c r="AE131" s="889">
        <f t="shared" si="265"/>
        <v>2027</v>
      </c>
      <c r="AF131" s="889">
        <f t="shared" si="265"/>
        <v>2028</v>
      </c>
      <c r="AG131" s="889">
        <f t="shared" si="265"/>
        <v>2029</v>
      </c>
      <c r="AH131" s="889">
        <f t="shared" si="265"/>
        <v>2030</v>
      </c>
      <c r="AI131" s="889">
        <f t="shared" si="265"/>
        <v>2031</v>
      </c>
      <c r="AJ131" s="889">
        <f t="shared" si="265"/>
        <v>2032</v>
      </c>
      <c r="AK131" s="889">
        <f t="shared" si="265"/>
        <v>2033</v>
      </c>
      <c r="AL131" s="889">
        <f t="shared" si="265"/>
        <v>2034</v>
      </c>
      <c r="AM131" s="889">
        <f t="shared" si="265"/>
        <v>2035</v>
      </c>
      <c r="AN131" s="889">
        <f t="shared" si="265"/>
        <v>2036</v>
      </c>
      <c r="AO131" s="889">
        <f t="shared" si="265"/>
        <v>2037</v>
      </c>
      <c r="AP131" s="889">
        <f t="shared" si="265"/>
        <v>2038</v>
      </c>
      <c r="AQ131" s="889">
        <f t="shared" si="265"/>
        <v>2039</v>
      </c>
      <c r="AR131" s="889">
        <f t="shared" si="265"/>
        <v>2040</v>
      </c>
      <c r="AS131" s="889">
        <f t="shared" si="265"/>
        <v>2041</v>
      </c>
      <c r="AT131" s="889">
        <f t="shared" si="265"/>
        <v>2042</v>
      </c>
      <c r="AU131" s="889">
        <f t="shared" si="265"/>
        <v>2043</v>
      </c>
      <c r="AV131" s="889">
        <f t="shared" si="265"/>
        <v>2044</v>
      </c>
      <c r="AW131" s="889">
        <f t="shared" si="265"/>
        <v>2045</v>
      </c>
      <c r="AX131" s="889">
        <f t="shared" si="265"/>
        <v>2046</v>
      </c>
      <c r="AY131" s="889">
        <f t="shared" si="265"/>
        <v>2047</v>
      </c>
      <c r="AZ131" s="889">
        <f t="shared" si="265"/>
        <v>2048</v>
      </c>
      <c r="BA131" s="889">
        <f t="shared" si="265"/>
        <v>2049</v>
      </c>
      <c r="BB131" s="889">
        <f t="shared" si="265"/>
        <v>2050</v>
      </c>
      <c r="BC131" s="889">
        <f t="shared" si="265"/>
        <v>2051</v>
      </c>
      <c r="BD131" s="889">
        <f t="shared" si="265"/>
        <v>2052</v>
      </c>
      <c r="BE131" s="889">
        <f t="shared" si="265"/>
        <v>2053</v>
      </c>
      <c r="BF131" s="889">
        <f t="shared" si="265"/>
        <v>2054</v>
      </c>
      <c r="BG131" s="889">
        <f t="shared" si="265"/>
        <v>2055</v>
      </c>
      <c r="BH131" s="889">
        <f t="shared" si="265"/>
        <v>2056</v>
      </c>
      <c r="BI131" s="889">
        <f t="shared" si="265"/>
        <v>2057</v>
      </c>
      <c r="BJ131" s="889">
        <f t="shared" si="265"/>
        <v>2058</v>
      </c>
      <c r="BK131" s="889">
        <f t="shared" si="265"/>
        <v>2059</v>
      </c>
      <c r="BL131" s="889">
        <f t="shared" si="265"/>
        <v>2060</v>
      </c>
      <c r="BM131" s="889">
        <f t="shared" si="265"/>
        <v>2061</v>
      </c>
      <c r="BN131" s="889">
        <f t="shared" si="265"/>
        <v>2062</v>
      </c>
      <c r="BO131" s="889">
        <f t="shared" si="265"/>
        <v>2063</v>
      </c>
      <c r="BP131" s="889">
        <f t="shared" si="265"/>
        <v>2064</v>
      </c>
      <c r="BQ131" s="889">
        <f t="shared" si="265"/>
        <v>2065</v>
      </c>
      <c r="BR131" s="889">
        <f t="shared" si="265"/>
        <v>2066</v>
      </c>
      <c r="BS131" s="889">
        <f t="shared" si="265"/>
        <v>2067</v>
      </c>
      <c r="BT131" s="889">
        <f t="shared" si="265"/>
        <v>2068</v>
      </c>
      <c r="BU131" s="889">
        <f t="shared" si="265"/>
        <v>2069</v>
      </c>
      <c r="BV131" s="889">
        <f t="shared" ref="BV131:CZ131" si="266">+BU131+1</f>
        <v>2070</v>
      </c>
      <c r="BW131" s="889">
        <f t="shared" si="266"/>
        <v>2071</v>
      </c>
      <c r="BX131" s="889">
        <f t="shared" si="266"/>
        <v>2072</v>
      </c>
      <c r="BY131" s="889">
        <f t="shared" si="266"/>
        <v>2073</v>
      </c>
      <c r="BZ131" s="889">
        <f t="shared" si="266"/>
        <v>2074</v>
      </c>
      <c r="CA131" s="889">
        <f t="shared" si="266"/>
        <v>2075</v>
      </c>
      <c r="CB131" s="889">
        <f t="shared" si="266"/>
        <v>2076</v>
      </c>
      <c r="CC131" s="889">
        <f t="shared" si="266"/>
        <v>2077</v>
      </c>
      <c r="CD131" s="889">
        <f t="shared" si="266"/>
        <v>2078</v>
      </c>
      <c r="CE131" s="889">
        <f t="shared" si="266"/>
        <v>2079</v>
      </c>
      <c r="CF131" s="889">
        <f t="shared" si="266"/>
        <v>2080</v>
      </c>
      <c r="CG131" s="889">
        <f t="shared" si="266"/>
        <v>2081</v>
      </c>
      <c r="CH131" s="889">
        <f t="shared" si="266"/>
        <v>2082</v>
      </c>
      <c r="CI131" s="889">
        <f t="shared" si="266"/>
        <v>2083</v>
      </c>
      <c r="CJ131" s="889">
        <f t="shared" si="266"/>
        <v>2084</v>
      </c>
      <c r="CK131" s="889">
        <f t="shared" si="266"/>
        <v>2085</v>
      </c>
      <c r="CL131" s="889">
        <f t="shared" si="266"/>
        <v>2086</v>
      </c>
      <c r="CM131" s="889">
        <f t="shared" si="266"/>
        <v>2087</v>
      </c>
      <c r="CN131" s="889">
        <f t="shared" si="266"/>
        <v>2088</v>
      </c>
      <c r="CO131" s="889">
        <f t="shared" si="266"/>
        <v>2089</v>
      </c>
      <c r="CP131" s="889">
        <f t="shared" si="266"/>
        <v>2090</v>
      </c>
      <c r="CQ131" s="889">
        <f t="shared" si="266"/>
        <v>2091</v>
      </c>
      <c r="CR131" s="889">
        <f t="shared" si="266"/>
        <v>2092</v>
      </c>
      <c r="CS131" s="889">
        <f t="shared" si="266"/>
        <v>2093</v>
      </c>
      <c r="CT131" s="889">
        <f t="shared" si="266"/>
        <v>2094</v>
      </c>
      <c r="CU131" s="889">
        <f t="shared" si="266"/>
        <v>2095</v>
      </c>
      <c r="CV131" s="889">
        <f t="shared" si="266"/>
        <v>2096</v>
      </c>
      <c r="CW131" s="889">
        <f t="shared" si="266"/>
        <v>2097</v>
      </c>
      <c r="CX131" s="889">
        <f t="shared" si="266"/>
        <v>2098</v>
      </c>
      <c r="CY131" s="889">
        <f t="shared" si="266"/>
        <v>2099</v>
      </c>
      <c r="CZ131" s="1390">
        <f t="shared" si="266"/>
        <v>2100</v>
      </c>
    </row>
    <row r="132" spans="1:104" ht="13" thickBot="1" x14ac:dyDescent="0.3">
      <c r="A132" s="1391" t="s">
        <v>1090</v>
      </c>
      <c r="B132" s="871"/>
      <c r="C132" s="871"/>
      <c r="D132" s="1257"/>
      <c r="E132" s="871"/>
      <c r="F132" s="871"/>
      <c r="G132" s="871"/>
      <c r="H132" s="959"/>
      <c r="I132" s="959"/>
      <c r="J132" s="959"/>
      <c r="K132" s="959"/>
      <c r="L132" s="959"/>
      <c r="M132" s="959"/>
      <c r="N132" s="959"/>
      <c r="O132" s="959"/>
      <c r="P132" s="959"/>
      <c r="Q132" s="959"/>
      <c r="R132" s="959"/>
      <c r="S132" s="959"/>
      <c r="T132" s="959"/>
      <c r="U132" s="959"/>
      <c r="V132" s="959"/>
      <c r="W132" s="959"/>
      <c r="X132" s="959"/>
      <c r="Y132" s="959"/>
      <c r="Z132" s="959"/>
      <c r="AA132" s="959"/>
      <c r="AB132" s="959"/>
      <c r="AC132" s="959"/>
      <c r="AD132" s="959"/>
      <c r="AE132" s="959"/>
      <c r="AF132" s="959"/>
      <c r="AG132" s="959"/>
      <c r="AH132" s="959"/>
      <c r="AI132" s="959"/>
      <c r="AJ132" s="959"/>
      <c r="AK132" s="959"/>
      <c r="AL132" s="959"/>
      <c r="AM132" s="959"/>
      <c r="AN132" s="959"/>
      <c r="AO132" s="959"/>
      <c r="AP132" s="959"/>
      <c r="AQ132" s="959"/>
      <c r="AR132" s="959"/>
      <c r="AS132" s="959"/>
      <c r="AT132" s="959"/>
      <c r="AU132" s="959"/>
      <c r="AV132" s="959"/>
      <c r="AW132" s="959"/>
      <c r="AX132" s="959"/>
      <c r="AY132" s="959"/>
      <c r="AZ132" s="959"/>
      <c r="BA132" s="959"/>
      <c r="BB132" s="959"/>
      <c r="BC132" s="959"/>
      <c r="BD132" s="959"/>
      <c r="BE132" s="959"/>
      <c r="BF132" s="959"/>
      <c r="BG132" s="959"/>
      <c r="BH132" s="959"/>
      <c r="BI132" s="959"/>
      <c r="BJ132" s="959"/>
      <c r="BK132" s="959"/>
      <c r="BL132" s="959"/>
      <c r="BM132" s="959"/>
      <c r="BN132" s="959"/>
      <c r="BO132" s="959"/>
      <c r="BP132" s="959"/>
      <c r="BQ132" s="959"/>
      <c r="BR132" s="959"/>
      <c r="BS132" s="959"/>
      <c r="BT132" s="959"/>
      <c r="BU132" s="959"/>
      <c r="BV132" s="959"/>
      <c r="BW132" s="959"/>
      <c r="BX132" s="959"/>
      <c r="BY132" s="959"/>
      <c r="BZ132" s="959"/>
      <c r="CA132" s="959"/>
      <c r="CB132" s="959"/>
      <c r="CC132" s="959"/>
      <c r="CD132" s="959"/>
      <c r="CE132" s="959"/>
      <c r="CF132" s="959"/>
      <c r="CG132" s="959"/>
      <c r="CH132" s="959"/>
      <c r="CI132" s="959"/>
      <c r="CJ132" s="959"/>
      <c r="CK132" s="959"/>
      <c r="CL132" s="959"/>
      <c r="CM132" s="959"/>
      <c r="CN132" s="959"/>
      <c r="CO132" s="959"/>
      <c r="CP132" s="959"/>
      <c r="CQ132" s="959"/>
      <c r="CR132" s="959"/>
      <c r="CS132" s="959"/>
      <c r="CT132" s="959"/>
      <c r="CU132" s="959"/>
      <c r="CV132" s="959"/>
      <c r="CW132" s="959"/>
      <c r="CX132" s="959"/>
      <c r="CY132" s="959"/>
      <c r="CZ132" s="1392"/>
    </row>
    <row r="133" spans="1:104" ht="13" x14ac:dyDescent="0.3">
      <c r="A133" s="1495" t="s">
        <v>681</v>
      </c>
      <c r="B133" s="260">
        <v>2016</v>
      </c>
      <c r="C133" s="874">
        <f t="shared" ref="C133:C141" si="267">VLOOKUP(ref_year,DeflatorTable,2,FALSE)/VLOOKUP(B133,DeflatorTable,2,FALSE)</f>
        <v>1</v>
      </c>
      <c r="D133" s="1258" t="s">
        <v>864</v>
      </c>
      <c r="E133" s="874" t="s">
        <v>1058</v>
      </c>
      <c r="F133" s="260">
        <v>47.141269049911173</v>
      </c>
      <c r="G133" s="260">
        <v>52.224661236371581</v>
      </c>
      <c r="H133" s="1068">
        <f>+H153*$C133</f>
        <v>13.604875014867702</v>
      </c>
      <c r="I133" s="1068">
        <f t="shared" ref="I133:BT141" si="268">+I153*$C133</f>
        <v>15.571757228276402</v>
      </c>
      <c r="J133" s="1068">
        <f t="shared" si="268"/>
        <v>16.331995797204218</v>
      </c>
      <c r="K133" s="1068">
        <f t="shared" si="268"/>
        <v>15.155672177020728</v>
      </c>
      <c r="L133" s="1068">
        <f t="shared" si="268"/>
        <v>15.783516201764996</v>
      </c>
      <c r="M133" s="1068">
        <f t="shared" si="268"/>
        <v>13.69149010361817</v>
      </c>
      <c r="N133" s="1068">
        <f t="shared" si="268"/>
        <v>12.691188457250465</v>
      </c>
      <c r="O133" s="959">
        <f t="shared" si="268"/>
        <v>12.04142243701838</v>
      </c>
      <c r="P133" s="959">
        <f t="shared" si="268"/>
        <v>11.415954621928984</v>
      </c>
      <c r="Q133" s="959">
        <f t="shared" si="268"/>
        <v>10.886628367710442</v>
      </c>
      <c r="R133" s="959">
        <f t="shared" si="268"/>
        <v>11.368469484946878</v>
      </c>
      <c r="S133" s="959">
        <f t="shared" si="268"/>
        <v>9.7183315387998359</v>
      </c>
      <c r="T133" s="959">
        <f t="shared" si="268"/>
        <v>9.390001099467705</v>
      </c>
      <c r="U133" s="959">
        <f t="shared" si="268"/>
        <v>10.023002570479671</v>
      </c>
      <c r="V133" s="959">
        <f t="shared" si="268"/>
        <v>10.033707215541167</v>
      </c>
      <c r="W133" s="959">
        <f t="shared" si="268"/>
        <v>10.158951752324048</v>
      </c>
      <c r="X133" s="959">
        <f t="shared" si="268"/>
        <v>10.289627280447673</v>
      </c>
      <c r="Y133" s="959">
        <f t="shared" si="268"/>
        <v>10.38663350570965</v>
      </c>
      <c r="Z133" s="959">
        <f t="shared" si="268"/>
        <v>10.458822090960101</v>
      </c>
      <c r="AA133" s="959">
        <f t="shared" si="268"/>
        <v>10.541361785535555</v>
      </c>
      <c r="AB133" s="959">
        <f t="shared" si="268"/>
        <v>10.671303703310535</v>
      </c>
      <c r="AC133" s="959">
        <f t="shared" si="268"/>
        <v>10.821196220864106</v>
      </c>
      <c r="AD133" s="959">
        <f t="shared" si="268"/>
        <v>10.961130973142659</v>
      </c>
      <c r="AE133" s="959">
        <f t="shared" si="268"/>
        <v>11.387951919139837</v>
      </c>
      <c r="AF133" s="959">
        <f t="shared" si="268"/>
        <v>11.524366479125279</v>
      </c>
      <c r="AG133" s="959">
        <f t="shared" si="268"/>
        <v>11.653679994237272</v>
      </c>
      <c r="AH133" s="959">
        <f t="shared" si="268"/>
        <v>11.727599293307653</v>
      </c>
      <c r="AI133" s="959">
        <f t="shared" si="268"/>
        <v>11.827238554162054</v>
      </c>
      <c r="AJ133" s="959">
        <f t="shared" si="268"/>
        <v>11.877874728924342</v>
      </c>
      <c r="AK133" s="959">
        <f t="shared" si="268"/>
        <v>11.891573527850655</v>
      </c>
      <c r="AL133" s="959">
        <f t="shared" si="268"/>
        <v>11.9827791131466</v>
      </c>
      <c r="AM133" s="959">
        <f t="shared" si="268"/>
        <v>12.163475682807357</v>
      </c>
      <c r="AN133" s="959">
        <f t="shared" si="268"/>
        <v>12.259449735369497</v>
      </c>
      <c r="AO133" s="959">
        <f t="shared" si="268"/>
        <v>12.356256919064013</v>
      </c>
      <c r="AP133" s="959">
        <f t="shared" si="268"/>
        <v>12.41256198723101</v>
      </c>
      <c r="AQ133" s="959">
        <f t="shared" si="268"/>
        <v>12.490714236969412</v>
      </c>
      <c r="AR133" s="959">
        <f t="shared" si="268"/>
        <v>12.496378391289182</v>
      </c>
      <c r="AS133" s="959">
        <f t="shared" si="268"/>
        <v>12.55376491863939</v>
      </c>
      <c r="AT133" s="959">
        <f t="shared" si="268"/>
        <v>12.651412816002184</v>
      </c>
      <c r="AU133" s="959">
        <f t="shared" si="268"/>
        <v>12.770777096192051</v>
      </c>
      <c r="AV133" s="959">
        <f t="shared" si="268"/>
        <v>12.886454368298935</v>
      </c>
      <c r="AW133" s="959">
        <f t="shared" si="268"/>
        <v>13.010888521557151</v>
      </c>
      <c r="AX133" s="959">
        <f t="shared" si="268"/>
        <v>13.118997475015544</v>
      </c>
      <c r="AY133" s="959">
        <f t="shared" si="268"/>
        <v>13.217679440712152</v>
      </c>
      <c r="AZ133" s="959">
        <f t="shared" si="268"/>
        <v>13.363983523149482</v>
      </c>
      <c r="BA133" s="959">
        <f t="shared" si="268"/>
        <v>13.453606254075613</v>
      </c>
      <c r="BB133" s="959">
        <f t="shared" si="268"/>
        <v>13.593337225701765</v>
      </c>
      <c r="BC133" s="959">
        <f t="shared" si="268"/>
        <v>13.668907227280409</v>
      </c>
      <c r="BD133" s="959">
        <f t="shared" si="268"/>
        <v>13.744897348292845</v>
      </c>
      <c r="BE133" s="959">
        <f t="shared" si="268"/>
        <v>13.821309924326409</v>
      </c>
      <c r="BF133" s="959">
        <f t="shared" si="268"/>
        <v>13.898147303952761</v>
      </c>
      <c r="BG133" s="959">
        <f t="shared" si="268"/>
        <v>13.975411848800078</v>
      </c>
      <c r="BH133" s="959">
        <f t="shared" si="268"/>
        <v>14.050424531225174</v>
      </c>
      <c r="BI133" s="959">
        <f t="shared" si="268"/>
        <v>14.12583984239463</v>
      </c>
      <c r="BJ133" s="959">
        <f t="shared" si="268"/>
        <v>14.201659943408417</v>
      </c>
      <c r="BK133" s="959">
        <f t="shared" si="268"/>
        <v>14.277887006966159</v>
      </c>
      <c r="BL133" s="959">
        <f t="shared" si="268"/>
        <v>14.354523217429389</v>
      </c>
      <c r="BM133" s="959">
        <f t="shared" si="268"/>
        <v>14.422221698840277</v>
      </c>
      <c r="BN133" s="959">
        <f t="shared" si="268"/>
        <v>14.490239458315362</v>
      </c>
      <c r="BO133" s="959">
        <f t="shared" si="268"/>
        <v>14.558578001626712</v>
      </c>
      <c r="BP133" s="959">
        <f t="shared" si="268"/>
        <v>14.627238841647882</v>
      </c>
      <c r="BQ133" s="959">
        <f t="shared" si="268"/>
        <v>14.696223498387408</v>
      </c>
      <c r="BR133" s="959">
        <f t="shared" si="268"/>
        <v>14.75529333521281</v>
      </c>
      <c r="BS133" s="959">
        <f t="shared" si="268"/>
        <v>14.814600596681556</v>
      </c>
      <c r="BT133" s="959">
        <f t="shared" si="268"/>
        <v>14.874146237095607</v>
      </c>
      <c r="BU133" s="959">
        <f t="shared" ref="BU133:CZ140" si="269">+BU153*$C133</f>
        <v>14.933931214592636</v>
      </c>
      <c r="BV133" s="959">
        <f t="shared" si="269"/>
        <v>14.993956491161448</v>
      </c>
      <c r="BW133" s="959">
        <f t="shared" si="269"/>
        <v>15.043740835540882</v>
      </c>
      <c r="BX133" s="959">
        <f t="shared" si="269"/>
        <v>15.093690478582264</v>
      </c>
      <c r="BY133" s="959">
        <f t="shared" si="269"/>
        <v>15.143805969125756</v>
      </c>
      <c r="BZ133" s="959">
        <f t="shared" si="269"/>
        <v>15.19408785783383</v>
      </c>
      <c r="CA133" s="959">
        <f t="shared" si="269"/>
        <v>15.244536697197322</v>
      </c>
      <c r="CB133" s="959">
        <f t="shared" si="269"/>
        <v>15.277067444573643</v>
      </c>
      <c r="CC133" s="959">
        <f t="shared" si="269"/>
        <v>15.309667610230484</v>
      </c>
      <c r="CD133" s="959">
        <f t="shared" si="269"/>
        <v>15.342337342301477</v>
      </c>
      <c r="CE133" s="959">
        <f t="shared" si="269"/>
        <v>15.375076789236356</v>
      </c>
      <c r="CF133" s="959">
        <f t="shared" si="269"/>
        <v>15.407886099801638</v>
      </c>
      <c r="CG133" s="959">
        <f t="shared" si="269"/>
        <v>15.41853907481957</v>
      </c>
      <c r="CH133" s="959">
        <f t="shared" si="269"/>
        <v>15.42919941527855</v>
      </c>
      <c r="CI133" s="959">
        <f t="shared" si="269"/>
        <v>15.439867126271025</v>
      </c>
      <c r="CJ133" s="959">
        <f t="shared" si="269"/>
        <v>15.450542212892964</v>
      </c>
      <c r="CK133" s="959">
        <f t="shared" si="269"/>
        <v>15.461224680243861</v>
      </c>
      <c r="CL133" s="959">
        <f t="shared" si="269"/>
        <v>15.464845562477739</v>
      </c>
      <c r="CM133" s="959">
        <f t="shared" si="269"/>
        <v>15.468467292690251</v>
      </c>
      <c r="CN133" s="959">
        <f t="shared" si="269"/>
        <v>15.472089871079984</v>
      </c>
      <c r="CO133" s="959">
        <f t="shared" si="269"/>
        <v>15.475713297845573</v>
      </c>
      <c r="CP133" s="959">
        <f t="shared" si="269"/>
        <v>15.479337573185701</v>
      </c>
      <c r="CQ133" s="959">
        <f t="shared" si="269"/>
        <v>15.484830510437597</v>
      </c>
      <c r="CR133" s="959">
        <f t="shared" si="269"/>
        <v>15.490325396891745</v>
      </c>
      <c r="CS133" s="959">
        <f t="shared" si="269"/>
        <v>15.49582223323983</v>
      </c>
      <c r="CT133" s="959">
        <f t="shared" si="269"/>
        <v>15.501321020173785</v>
      </c>
      <c r="CU133" s="959">
        <f t="shared" si="269"/>
        <v>15.506821758385787</v>
      </c>
      <c r="CV133" s="959">
        <f t="shared" si="269"/>
        <v>15.515287417782641</v>
      </c>
      <c r="CW133" s="959">
        <f t="shared" si="269"/>
        <v>15.523757698847955</v>
      </c>
      <c r="CX133" s="959">
        <f t="shared" si="269"/>
        <v>15.532232604104841</v>
      </c>
      <c r="CY133" s="959">
        <f t="shared" si="269"/>
        <v>15.540712136077792</v>
      </c>
      <c r="CZ133" s="1392">
        <f t="shared" si="269"/>
        <v>15.549196297292674</v>
      </c>
    </row>
    <row r="134" spans="1:104" ht="13" x14ac:dyDescent="0.3">
      <c r="A134" s="1495" t="s">
        <v>1085</v>
      </c>
      <c r="B134" s="260">
        <v>2016</v>
      </c>
      <c r="C134" s="874">
        <f t="shared" si="267"/>
        <v>1</v>
      </c>
      <c r="D134" s="1258" t="s">
        <v>864</v>
      </c>
      <c r="E134" s="874" t="s">
        <v>1058</v>
      </c>
      <c r="F134" s="260">
        <v>47.141269049911173</v>
      </c>
      <c r="G134" s="260">
        <v>52.224661236371581</v>
      </c>
      <c r="H134" s="1069">
        <f t="shared" ref="H134:BS137" si="270">+H154*$C134</f>
        <v>11.934322920018829</v>
      </c>
      <c r="I134" s="1069">
        <f t="shared" si="270"/>
        <v>13.90423046997279</v>
      </c>
      <c r="J134" s="1069">
        <f t="shared" si="270"/>
        <v>14.274140536522257</v>
      </c>
      <c r="K134" s="1069">
        <f t="shared" si="270"/>
        <v>13.139550648884942</v>
      </c>
      <c r="L134" s="1069">
        <f t="shared" si="270"/>
        <v>13.897221248926272</v>
      </c>
      <c r="M134" s="1069">
        <f t="shared" si="270"/>
        <v>11.345666428533674</v>
      </c>
      <c r="N134" s="1069">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9">
        <f t="shared" si="269"/>
        <v>13.30121559030755</v>
      </c>
    </row>
    <row r="135" spans="1:104" ht="13" x14ac:dyDescent="0.3">
      <c r="A135" s="1495" t="s">
        <v>283</v>
      </c>
      <c r="B135" s="260">
        <v>2016</v>
      </c>
      <c r="C135" s="874">
        <f t="shared" si="267"/>
        <v>1</v>
      </c>
      <c r="D135" s="1258" t="s">
        <v>864</v>
      </c>
      <c r="E135" s="874" t="s">
        <v>1058</v>
      </c>
      <c r="F135" s="260">
        <v>47.141269049911173</v>
      </c>
      <c r="G135" s="260">
        <v>52.224661236371581</v>
      </c>
      <c r="H135" s="1069">
        <f t="shared" si="270"/>
        <v>8.2641705904266125</v>
      </c>
      <c r="I135" s="1069">
        <f t="shared" si="270"/>
        <v>10.495609596381577</v>
      </c>
      <c r="J135" s="1069">
        <f t="shared" si="270"/>
        <v>9.3614571685358463</v>
      </c>
      <c r="K135" s="1069">
        <f t="shared" si="270"/>
        <v>8.8987432965993278</v>
      </c>
      <c r="L135" s="1069">
        <f t="shared" si="270"/>
        <v>10.965509816201024</v>
      </c>
      <c r="M135" s="1069">
        <f t="shared" si="270"/>
        <v>6.0111731674040234</v>
      </c>
      <c r="N135" s="1069">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9">
        <f t="shared" si="269"/>
        <v>7.1362712217729669</v>
      </c>
    </row>
    <row r="136" spans="1:104" ht="13" x14ac:dyDescent="0.3">
      <c r="A136" s="1495" t="s">
        <v>1086</v>
      </c>
      <c r="B136" s="260">
        <v>2016</v>
      </c>
      <c r="C136" s="874">
        <f t="shared" si="267"/>
        <v>1</v>
      </c>
      <c r="D136" s="1258" t="s">
        <v>864</v>
      </c>
      <c r="E136" s="874" t="s">
        <v>1058</v>
      </c>
      <c r="F136" s="260">
        <v>47.141269049911173</v>
      </c>
      <c r="G136" s="260">
        <v>52.224661236371581</v>
      </c>
      <c r="H136" s="1069">
        <f t="shared" si="270"/>
        <v>8.4160389626855991</v>
      </c>
      <c r="I136" s="1069">
        <f t="shared" si="270"/>
        <v>10.630483084185546</v>
      </c>
      <c r="J136" s="1069">
        <f t="shared" si="270"/>
        <v>10.241695834954719</v>
      </c>
      <c r="K136" s="1069">
        <f t="shared" si="270"/>
        <v>9.4549147526367854</v>
      </c>
      <c r="L136" s="1069">
        <f t="shared" si="270"/>
        <v>10.431438353650302</v>
      </c>
      <c r="M136" s="1069">
        <f t="shared" si="270"/>
        <v>7.3081429877632402</v>
      </c>
      <c r="N136" s="1069">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9">
        <f t="shared" si="269"/>
        <v>6.6468602842533091</v>
      </c>
    </row>
    <row r="137" spans="1:104" ht="13" x14ac:dyDescent="0.3">
      <c r="A137" s="1495" t="s">
        <v>1081</v>
      </c>
      <c r="B137" s="260">
        <v>2016</v>
      </c>
      <c r="C137" s="874">
        <f t="shared" si="267"/>
        <v>1</v>
      </c>
      <c r="D137" s="1260" t="s">
        <v>268</v>
      </c>
      <c r="E137" s="874" t="s">
        <v>1058</v>
      </c>
      <c r="F137" s="260">
        <v>19.551069237418005</v>
      </c>
      <c r="G137" s="260">
        <v>20.588656379262464</v>
      </c>
      <c r="H137" s="1069">
        <f t="shared" si="270"/>
        <v>5.0967849132778742</v>
      </c>
      <c r="I137" s="1069">
        <f t="shared" si="270"/>
        <v>5.0967849132778742</v>
      </c>
      <c r="J137" s="1069">
        <f t="shared" si="270"/>
        <v>5.0967849132778742</v>
      </c>
      <c r="K137" s="1069">
        <f t="shared" si="270"/>
        <v>5.0967849132778742</v>
      </c>
      <c r="L137" s="1069">
        <f t="shared" si="270"/>
        <v>5.0967849132778742</v>
      </c>
      <c r="M137" s="1069">
        <f t="shared" si="270"/>
        <v>5.0967849132778742</v>
      </c>
      <c r="N137" s="1069">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9">
        <f t="shared" si="269"/>
        <v>5.8102736396244499</v>
      </c>
    </row>
    <row r="138" spans="1:104" ht="13" x14ac:dyDescent="0.3">
      <c r="A138" s="1496" t="s">
        <v>1087</v>
      </c>
      <c r="B138" s="260">
        <v>2016</v>
      </c>
      <c r="C138" s="874">
        <f t="shared" si="267"/>
        <v>1</v>
      </c>
      <c r="D138" s="1260" t="s">
        <v>268</v>
      </c>
      <c r="E138" s="1497" t="s">
        <v>1052</v>
      </c>
      <c r="F138" s="260">
        <v>22.7322030001394</v>
      </c>
      <c r="G138" s="260">
        <v>23.967615189707661</v>
      </c>
      <c r="H138" s="1069" t="e">
        <f t="shared" ref="H138:BS141" si="272">+H158*$C138</f>
        <v>#N/A</v>
      </c>
      <c r="I138" s="1069" t="e">
        <f t="shared" si="272"/>
        <v>#N/A</v>
      </c>
      <c r="J138" s="1069" t="e">
        <f t="shared" si="272"/>
        <v>#N/A</v>
      </c>
      <c r="K138" s="1069" t="e">
        <f t="shared" si="272"/>
        <v>#N/A</v>
      </c>
      <c r="L138" s="1069">
        <f t="shared" si="272"/>
        <v>2.2148742453355847</v>
      </c>
      <c r="M138" s="1069">
        <f t="shared" si="272"/>
        <v>2.3408877437334223</v>
      </c>
      <c r="N138" s="1069">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9">
        <f t="shared" si="269"/>
        <v>2.555232924383334</v>
      </c>
    </row>
    <row r="139" spans="1:104" ht="13" x14ac:dyDescent="0.3">
      <c r="A139" s="1495" t="s">
        <v>683</v>
      </c>
      <c r="B139" s="260">
        <v>2016</v>
      </c>
      <c r="C139" s="874">
        <f t="shared" si="267"/>
        <v>1</v>
      </c>
      <c r="D139" s="1260" t="s">
        <v>296</v>
      </c>
      <c r="E139" s="874" t="s">
        <v>1071</v>
      </c>
      <c r="F139" s="878"/>
      <c r="G139" s="874"/>
      <c r="H139" s="1069">
        <f t="shared" si="272"/>
        <v>28.373013628420669</v>
      </c>
      <c r="I139" s="1069">
        <f t="shared" si="272"/>
        <v>29.17093293229123</v>
      </c>
      <c r="J139" s="1069">
        <f t="shared" si="272"/>
        <v>30.878569780545078</v>
      </c>
      <c r="K139" s="1069">
        <f t="shared" si="272"/>
        <v>30.682595180991225</v>
      </c>
      <c r="L139" s="1069">
        <f t="shared" si="272"/>
        <v>31.992353762541459</v>
      </c>
      <c r="M139" s="1069">
        <f t="shared" si="272"/>
        <v>31.4429334181984</v>
      </c>
      <c r="N139" s="1069">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9">
        <f t="shared" si="269"/>
        <v>31.1498233703682</v>
      </c>
    </row>
    <row r="140" spans="1:104" ht="13" x14ac:dyDescent="0.3">
      <c r="A140" s="1495" t="s">
        <v>698</v>
      </c>
      <c r="B140" s="260">
        <v>2016</v>
      </c>
      <c r="C140" s="874">
        <f t="shared" si="267"/>
        <v>1</v>
      </c>
      <c r="D140" s="1260" t="s">
        <v>296</v>
      </c>
      <c r="E140" s="874" t="s">
        <v>1071</v>
      </c>
      <c r="F140" s="885"/>
      <c r="G140" s="1494"/>
      <c r="H140" s="1069">
        <f t="shared" si="272"/>
        <v>18.232352698801531</v>
      </c>
      <c r="I140" s="1069">
        <f t="shared" si="272"/>
        <v>19.279059481202857</v>
      </c>
      <c r="J140" s="1069">
        <f t="shared" si="272"/>
        <v>20.106975671052609</v>
      </c>
      <c r="K140" s="1069">
        <f t="shared" si="272"/>
        <v>20.31728323383771</v>
      </c>
      <c r="L140" s="1069">
        <f t="shared" si="272"/>
        <v>21.702415417864383</v>
      </c>
      <c r="M140" s="1069">
        <f t="shared" si="272"/>
        <v>21.137326303769196</v>
      </c>
      <c r="N140" s="1069">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9">
        <f t="shared" ref="CZ140" si="273">+CZ160*$C140</f>
        <v>22.174736614534808</v>
      </c>
    </row>
    <row r="141" spans="1:104" ht="13.5" thickBot="1" x14ac:dyDescent="0.35">
      <c r="A141" s="1498" t="s">
        <v>684</v>
      </c>
      <c r="B141" s="443">
        <v>2016</v>
      </c>
      <c r="C141" s="1393">
        <f t="shared" si="267"/>
        <v>1</v>
      </c>
      <c r="D141" s="1499" t="s">
        <v>296</v>
      </c>
      <c r="E141" s="1393" t="s">
        <v>1071</v>
      </c>
      <c r="F141" s="1394"/>
      <c r="G141" s="1032"/>
      <c r="H141" s="1395">
        <f t="shared" si="272"/>
        <v>31.081820315099751</v>
      </c>
      <c r="I141" s="1395">
        <f t="shared" si="272"/>
        <v>31.795307521355493</v>
      </c>
      <c r="J141" s="1395">
        <f t="shared" si="272"/>
        <v>33.946842042036877</v>
      </c>
      <c r="K141" s="1395">
        <f t="shared" si="272"/>
        <v>33.862138723062856</v>
      </c>
      <c r="L141" s="1395">
        <f t="shared" si="272"/>
        <v>35.110516897292094</v>
      </c>
      <c r="M141" s="1395">
        <f t="shared" si="272"/>
        <v>35.620882248372396</v>
      </c>
      <c r="N141" s="1395">
        <f t="shared" si="272"/>
        <v>35.284315436843215</v>
      </c>
      <c r="O141" s="443">
        <f t="shared" si="272"/>
        <v>35.109707376782602</v>
      </c>
      <c r="P141" s="443">
        <f t="shared" si="272"/>
        <v>34.944303180720262</v>
      </c>
      <c r="Q141" s="443">
        <f t="shared" si="272"/>
        <v>35.113313940081568</v>
      </c>
      <c r="R141" s="443">
        <f t="shared" si="272"/>
        <v>35.603854676435802</v>
      </c>
      <c r="S141" s="443">
        <f t="shared" si="272"/>
        <v>35.586699324775935</v>
      </c>
      <c r="T141" s="443">
        <f t="shared" si="272"/>
        <v>34.861101349999998</v>
      </c>
      <c r="U141" s="443">
        <f t="shared" si="272"/>
        <v>34.664653819323334</v>
      </c>
      <c r="V141" s="443">
        <f t="shared" si="272"/>
        <v>34.410290069910978</v>
      </c>
      <c r="W141" s="443">
        <f t="shared" si="272"/>
        <v>34.908531869398402</v>
      </c>
      <c r="X141" s="443">
        <f t="shared" si="272"/>
        <v>35.616671532127199</v>
      </c>
      <c r="Y141" s="443">
        <f t="shared" si="272"/>
        <v>35.947520321196222</v>
      </c>
      <c r="Z141" s="443">
        <f t="shared" si="272"/>
        <v>36.987705865849776</v>
      </c>
      <c r="AA141" s="443">
        <f t="shared" si="272"/>
        <v>37.546039262370911</v>
      </c>
      <c r="AB141" s="443">
        <f t="shared" si="272"/>
        <v>37.510823122184988</v>
      </c>
      <c r="AC141" s="443">
        <f t="shared" si="272"/>
        <v>38.008797637281816</v>
      </c>
      <c r="AD141" s="443">
        <f t="shared" si="272"/>
        <v>38.419808048103611</v>
      </c>
      <c r="AE141" s="443">
        <f t="shared" si="272"/>
        <v>38.480927078752217</v>
      </c>
      <c r="AF141" s="443">
        <f t="shared" si="272"/>
        <v>38.529894147798792</v>
      </c>
      <c r="AG141" s="443">
        <f t="shared" si="272"/>
        <v>38.610432052895767</v>
      </c>
      <c r="AH141" s="443">
        <f t="shared" si="272"/>
        <v>38.669048846696292</v>
      </c>
      <c r="AI141" s="443">
        <f t="shared" si="272"/>
        <v>38.631731396248163</v>
      </c>
      <c r="AJ141" s="443">
        <f t="shared" si="272"/>
        <v>38.567872226687491</v>
      </c>
      <c r="AK141" s="443">
        <f t="shared" si="272"/>
        <v>38.465126969563705</v>
      </c>
      <c r="AL141" s="443">
        <f t="shared" si="272"/>
        <v>38.413723063041203</v>
      </c>
      <c r="AM141" s="443">
        <f t="shared" si="272"/>
        <v>38.515467425425761</v>
      </c>
      <c r="AN141" s="443">
        <f t="shared" si="272"/>
        <v>38.527084818246614</v>
      </c>
      <c r="AO141" s="443">
        <f t="shared" si="272"/>
        <v>38.521472793861179</v>
      </c>
      <c r="AP141" s="443">
        <f t="shared" si="272"/>
        <v>38.546973809920992</v>
      </c>
      <c r="AQ141" s="443">
        <f t="shared" si="272"/>
        <v>38.560691565187064</v>
      </c>
      <c r="AR141" s="443">
        <f t="shared" si="272"/>
        <v>38.568356561168315</v>
      </c>
      <c r="AS141" s="443">
        <f t="shared" si="272"/>
        <v>38.569368829711408</v>
      </c>
      <c r="AT141" s="443">
        <f t="shared" si="272"/>
        <v>38.651143635977618</v>
      </c>
      <c r="AU141" s="443">
        <f t="shared" si="272"/>
        <v>38.781520601750053</v>
      </c>
      <c r="AV141" s="443">
        <f t="shared" si="272"/>
        <v>38.929117506558889</v>
      </c>
      <c r="AW141" s="443">
        <f t="shared" si="272"/>
        <v>39.08758776785308</v>
      </c>
      <c r="AX141" s="443">
        <f t="shared" si="272"/>
        <v>39.228047610742941</v>
      </c>
      <c r="AY141" s="443">
        <f t="shared" si="272"/>
        <v>39.393119417357944</v>
      </c>
      <c r="AZ141" s="443">
        <f t="shared" si="272"/>
        <v>39.595269824540118</v>
      </c>
      <c r="BA141" s="443">
        <f t="shared" si="272"/>
        <v>39.769550621009692</v>
      </c>
      <c r="BB141" s="443">
        <f t="shared" si="272"/>
        <v>39.980674011616443</v>
      </c>
      <c r="BC141" s="443">
        <f t="shared" si="272"/>
        <v>39.983105560972888</v>
      </c>
      <c r="BD141" s="443">
        <f t="shared" si="272"/>
        <v>39.985537258211586</v>
      </c>
      <c r="BE141" s="443">
        <f t="shared" si="272"/>
        <v>39.987969103341534</v>
      </c>
      <c r="BF141" s="443">
        <f t="shared" si="272"/>
        <v>39.990401096371727</v>
      </c>
      <c r="BG141" s="443">
        <f t="shared" si="272"/>
        <v>39.99283323731116</v>
      </c>
      <c r="BH141" s="443">
        <f t="shared" si="272"/>
        <v>39.998683153044055</v>
      </c>
      <c r="BI141" s="443">
        <f t="shared" si="272"/>
        <v>40.00453392446812</v>
      </c>
      <c r="BJ141" s="443">
        <f t="shared" si="272"/>
        <v>40.010385551708517</v>
      </c>
      <c r="BK141" s="443">
        <f t="shared" si="272"/>
        <v>40.016238034890421</v>
      </c>
      <c r="BL141" s="443">
        <f t="shared" si="272"/>
        <v>40.022091374139045</v>
      </c>
      <c r="BM141" s="443">
        <f t="shared" si="272"/>
        <v>40.01068560090993</v>
      </c>
      <c r="BN141" s="443">
        <f t="shared" si="272"/>
        <v>39.999283078177193</v>
      </c>
      <c r="BO141" s="443">
        <f t="shared" si="272"/>
        <v>39.987883805014484</v>
      </c>
      <c r="BP141" s="443">
        <f t="shared" si="272"/>
        <v>39.976487780495717</v>
      </c>
      <c r="BQ141" s="443">
        <f t="shared" si="272"/>
        <v>39.965095003695069</v>
      </c>
      <c r="BR141" s="443">
        <f t="shared" si="272"/>
        <v>39.953080546830584</v>
      </c>
      <c r="BS141" s="443">
        <f t="shared" ref="BS141" si="274">+BS161*$C141</f>
        <v>39.941069701797218</v>
      </c>
      <c r="BT141" s="443">
        <f t="shared" si="268"/>
        <v>39.929062467509169</v>
      </c>
      <c r="BU141" s="443">
        <f t="shared" ref="BU141:CZ141" si="275">+BU161*$C141</f>
        <v>39.917058842880955</v>
      </c>
      <c r="BV141" s="443">
        <f t="shared" si="275"/>
        <v>39.905058826827435</v>
      </c>
      <c r="BW141" s="443">
        <f t="shared" si="275"/>
        <v>39.887488478960996</v>
      </c>
      <c r="BX141" s="443">
        <f t="shared" si="275"/>
        <v>39.869925867384971</v>
      </c>
      <c r="BY141" s="443">
        <f t="shared" si="275"/>
        <v>39.852370988693046</v>
      </c>
      <c r="BZ141" s="443">
        <f t="shared" si="275"/>
        <v>39.8348238394804</v>
      </c>
      <c r="CA141" s="443">
        <f t="shared" si="275"/>
        <v>39.817284416343718</v>
      </c>
      <c r="CB141" s="443">
        <f t="shared" si="275"/>
        <v>39.785391393336162</v>
      </c>
      <c r="CC141" s="443">
        <f t="shared" si="275"/>
        <v>39.75352391614198</v>
      </c>
      <c r="CD141" s="443">
        <f t="shared" si="275"/>
        <v>39.721681964299371</v>
      </c>
      <c r="CE141" s="443">
        <f t="shared" si="275"/>
        <v>39.689865517362925</v>
      </c>
      <c r="CF141" s="443">
        <f t="shared" si="275"/>
        <v>39.658074554903607</v>
      </c>
      <c r="CG141" s="443">
        <f t="shared" si="275"/>
        <v>39.614280722534119</v>
      </c>
      <c r="CH141" s="443">
        <f t="shared" si="275"/>
        <v>39.57053525105394</v>
      </c>
      <c r="CI141" s="443">
        <f t="shared" si="275"/>
        <v>39.526838087058842</v>
      </c>
      <c r="CJ141" s="443">
        <f t="shared" si="275"/>
        <v>39.48318917720357</v>
      </c>
      <c r="CK141" s="443">
        <f t="shared" si="275"/>
        <v>39.439588468201791</v>
      </c>
      <c r="CL141" s="443">
        <f t="shared" si="275"/>
        <v>39.392053039782866</v>
      </c>
      <c r="CM141" s="443">
        <f t="shared" si="275"/>
        <v>39.344574904480901</v>
      </c>
      <c r="CN141" s="443">
        <f t="shared" si="275"/>
        <v>39.297153993242112</v>
      </c>
      <c r="CO141" s="443">
        <f t="shared" si="275"/>
        <v>39.249790237095944</v>
      </c>
      <c r="CP141" s="443">
        <f t="shared" si="275"/>
        <v>39.202483567154964</v>
      </c>
      <c r="CQ141" s="443">
        <f t="shared" si="275"/>
        <v>39.147690090479308</v>
      </c>
      <c r="CR141" s="443">
        <f t="shared" si="275"/>
        <v>39.092973198877175</v>
      </c>
      <c r="CS141" s="443">
        <f t="shared" si="275"/>
        <v>39.038332785305279</v>
      </c>
      <c r="CT141" s="443">
        <f t="shared" si="275"/>
        <v>38.983768742869955</v>
      </c>
      <c r="CU141" s="443">
        <f t="shared" si="275"/>
        <v>38.929280964826951</v>
      </c>
      <c r="CV141" s="443">
        <f t="shared" si="275"/>
        <v>38.876091192919297</v>
      </c>
      <c r="CW141" s="443">
        <f t="shared" si="275"/>
        <v>38.822974095147039</v>
      </c>
      <c r="CX141" s="443">
        <f t="shared" si="275"/>
        <v>38.769929572214203</v>
      </c>
      <c r="CY141" s="443">
        <f t="shared" si="275"/>
        <v>38.716957524960492</v>
      </c>
      <c r="CZ141" s="444">
        <f t="shared" si="275"/>
        <v>38.66405785436109</v>
      </c>
    </row>
    <row r="142" spans="1:104" x14ac:dyDescent="0.25">
      <c r="A142" t="s">
        <v>1421</v>
      </c>
    </row>
    <row r="150" spans="1:104" ht="13" x14ac:dyDescent="0.3">
      <c r="A150" s="1500" t="s">
        <v>1290</v>
      </c>
      <c r="B150" s="1501" t="s">
        <v>1420</v>
      </c>
      <c r="C150" s="1500"/>
      <c r="D150" s="1500"/>
      <c r="E150" s="1500"/>
      <c r="F150" s="1500"/>
      <c r="G150" s="1500"/>
      <c r="H150" s="1500"/>
      <c r="I150" s="1500"/>
      <c r="J150" s="1500"/>
      <c r="K150" s="1500"/>
      <c r="L150" s="1500"/>
      <c r="M150" s="1500"/>
      <c r="N150" s="1500"/>
      <c r="O150" s="1500"/>
      <c r="P150" s="1500"/>
      <c r="Q150" s="1500"/>
      <c r="R150" s="1500"/>
      <c r="S150" s="1500"/>
      <c r="T150" s="1500"/>
      <c r="U150" s="1500"/>
      <c r="V150" s="1500"/>
      <c r="W150" s="1500"/>
      <c r="X150" s="1500"/>
      <c r="Y150" s="1500"/>
      <c r="Z150" s="1500"/>
      <c r="AA150" s="1500"/>
      <c r="AB150" s="1500"/>
      <c r="AC150" s="1500"/>
      <c r="AD150" s="1500"/>
      <c r="AE150" s="1500"/>
      <c r="AF150" s="1500"/>
      <c r="AG150" s="1500"/>
      <c r="AH150" s="1500"/>
      <c r="AI150" s="1500"/>
      <c r="AJ150" s="1500"/>
      <c r="AK150" s="1500"/>
      <c r="AL150" s="1500"/>
      <c r="AM150" s="1500"/>
      <c r="AN150" s="1500"/>
      <c r="AO150" s="1500"/>
      <c r="AP150" s="1500"/>
      <c r="AQ150" s="1500"/>
      <c r="AR150" s="1500"/>
      <c r="AS150" s="1500"/>
      <c r="AT150" s="1500"/>
      <c r="AU150" s="1500"/>
      <c r="AV150" s="1500"/>
      <c r="AW150" s="1500"/>
      <c r="AX150" s="1500"/>
      <c r="AY150" s="1500"/>
      <c r="AZ150" s="1500"/>
      <c r="BA150" s="1500"/>
      <c r="BB150" s="1500" t="s">
        <v>1291</v>
      </c>
      <c r="BC150" s="1500"/>
      <c r="BD150" s="1500"/>
      <c r="BE150" s="1500"/>
      <c r="BF150" s="1500"/>
      <c r="BG150" s="1500"/>
      <c r="BH150" s="1500"/>
      <c r="BI150" s="1500"/>
      <c r="BJ150" s="1500"/>
      <c r="BK150" s="1500"/>
      <c r="BL150" s="1500"/>
      <c r="BM150" s="1500"/>
      <c r="BN150" s="1500"/>
      <c r="BO150" s="1500"/>
      <c r="BP150" s="1500"/>
      <c r="BQ150" s="1500"/>
      <c r="BR150" s="1500"/>
      <c r="BS150" s="1500"/>
      <c r="BT150" s="1500"/>
      <c r="BU150" s="1500"/>
      <c r="BV150" s="1500"/>
      <c r="BW150" s="1500"/>
      <c r="BX150" s="1500"/>
      <c r="BY150" s="1500"/>
      <c r="BZ150" s="1500"/>
      <c r="CA150" s="1500"/>
      <c r="CB150" s="1500"/>
      <c r="CC150" s="1500"/>
      <c r="CD150" s="1500"/>
      <c r="CE150" s="1500"/>
      <c r="CF150" s="1500"/>
      <c r="CG150" s="1500"/>
      <c r="CH150" s="1500"/>
      <c r="CI150" s="1500"/>
      <c r="CJ150" s="1500"/>
      <c r="CK150" s="1500"/>
      <c r="CL150" s="1500"/>
      <c r="CM150" s="1500"/>
      <c r="CN150" s="1500"/>
      <c r="CO150" s="1500"/>
      <c r="CP150" s="1500"/>
      <c r="CQ150" s="1500"/>
      <c r="CR150" s="1500"/>
      <c r="CS150" s="1500"/>
      <c r="CT150" s="1500"/>
      <c r="CU150" s="1500"/>
      <c r="CV150" s="1500"/>
      <c r="CW150" s="1500"/>
      <c r="CX150" s="1500"/>
      <c r="CY150" s="1500"/>
      <c r="CZ150" s="1500"/>
    </row>
    <row r="151" spans="1:104" x14ac:dyDescent="0.25">
      <c r="A151" s="1502" t="s">
        <v>1084</v>
      </c>
      <c r="B151" s="1503" t="s">
        <v>678</v>
      </c>
      <c r="C151" s="1503" t="s">
        <v>679</v>
      </c>
      <c r="D151" s="1503" t="s">
        <v>690</v>
      </c>
      <c r="E151" s="1503" t="s">
        <v>691</v>
      </c>
      <c r="F151" s="1503" t="s">
        <v>680</v>
      </c>
      <c r="G151" s="1503" t="s">
        <v>692</v>
      </c>
      <c r="H151" s="1503">
        <v>2004</v>
      </c>
      <c r="I151" s="1503">
        <v>2005</v>
      </c>
      <c r="J151" s="1503">
        <v>2006</v>
      </c>
      <c r="K151" s="1503">
        <v>2007</v>
      </c>
      <c r="L151" s="1503">
        <v>2008</v>
      </c>
      <c r="M151" s="1503">
        <v>2009</v>
      </c>
      <c r="N151" s="1503">
        <v>2010</v>
      </c>
      <c r="O151" s="1503">
        <v>2011</v>
      </c>
      <c r="P151" s="1503">
        <v>2012</v>
      </c>
      <c r="Q151" s="1503">
        <v>2013</v>
      </c>
      <c r="R151" s="1503">
        <v>2014</v>
      </c>
      <c r="S151" s="1503">
        <v>2015</v>
      </c>
      <c r="T151" s="1503">
        <v>2016</v>
      </c>
      <c r="U151" s="1503">
        <v>2017</v>
      </c>
      <c r="V151" s="1503">
        <v>2018</v>
      </c>
      <c r="W151" s="1503">
        <v>2019</v>
      </c>
      <c r="X151" s="1503">
        <v>2020</v>
      </c>
      <c r="Y151" s="1503">
        <v>2021</v>
      </c>
      <c r="Z151" s="1503">
        <v>2022</v>
      </c>
      <c r="AA151" s="1503">
        <v>2023</v>
      </c>
      <c r="AB151" s="1503">
        <v>2024</v>
      </c>
      <c r="AC151" s="1503">
        <v>2025</v>
      </c>
      <c r="AD151" s="1503">
        <v>2026</v>
      </c>
      <c r="AE151" s="1503">
        <v>2027</v>
      </c>
      <c r="AF151" s="1503">
        <v>2028</v>
      </c>
      <c r="AG151" s="1503">
        <v>2029</v>
      </c>
      <c r="AH151" s="1503">
        <v>2030</v>
      </c>
      <c r="AI151" s="1503">
        <v>2031</v>
      </c>
      <c r="AJ151" s="1503">
        <v>2032</v>
      </c>
      <c r="AK151" s="1503">
        <v>2033</v>
      </c>
      <c r="AL151" s="1503">
        <v>2034</v>
      </c>
      <c r="AM151" s="1503">
        <v>2035</v>
      </c>
      <c r="AN151" s="1503">
        <v>2036</v>
      </c>
      <c r="AO151" s="1503">
        <v>2037</v>
      </c>
      <c r="AP151" s="1503">
        <v>2038</v>
      </c>
      <c r="AQ151" s="1503">
        <v>2039</v>
      </c>
      <c r="AR151" s="1503">
        <v>2040</v>
      </c>
      <c r="AS151" s="1503">
        <v>2041</v>
      </c>
      <c r="AT151" s="1503">
        <v>2042</v>
      </c>
      <c r="AU151" s="1503">
        <v>2043</v>
      </c>
      <c r="AV151" s="1503">
        <v>2044</v>
      </c>
      <c r="AW151" s="1503">
        <v>2045</v>
      </c>
      <c r="AX151" s="1503">
        <v>2046</v>
      </c>
      <c r="AY151" s="1503">
        <v>2047</v>
      </c>
      <c r="AZ151" s="1503">
        <v>2048</v>
      </c>
      <c r="BA151" s="1503">
        <v>2049</v>
      </c>
      <c r="BB151" s="1503">
        <v>2050</v>
      </c>
      <c r="BC151" s="1503">
        <v>2051</v>
      </c>
      <c r="BD151" s="1503">
        <v>2052</v>
      </c>
      <c r="BE151" s="1503">
        <v>2053</v>
      </c>
      <c r="BF151" s="1503">
        <v>2054</v>
      </c>
      <c r="BG151" s="1503">
        <v>2055</v>
      </c>
      <c r="BH151" s="1503">
        <v>2056</v>
      </c>
      <c r="BI151" s="1503">
        <v>2057</v>
      </c>
      <c r="BJ151" s="1503">
        <v>2058</v>
      </c>
      <c r="BK151" s="1503">
        <v>2059</v>
      </c>
      <c r="BL151" s="1503">
        <v>2060</v>
      </c>
      <c r="BM151" s="1503">
        <v>2061</v>
      </c>
      <c r="BN151" s="1503">
        <v>2062</v>
      </c>
      <c r="BO151" s="1503">
        <v>2063</v>
      </c>
      <c r="BP151" s="1503">
        <v>2064</v>
      </c>
      <c r="BQ151" s="1503">
        <v>2065</v>
      </c>
      <c r="BR151" s="1503">
        <v>2066</v>
      </c>
      <c r="BS151" s="1503">
        <v>2067</v>
      </c>
      <c r="BT151" s="1503">
        <v>2068</v>
      </c>
      <c r="BU151" s="1503">
        <v>2069</v>
      </c>
      <c r="BV151" s="1503">
        <v>2070</v>
      </c>
      <c r="BW151" s="1503">
        <v>2071</v>
      </c>
      <c r="BX151" s="1503">
        <v>2072</v>
      </c>
      <c r="BY151" s="1503">
        <v>2073</v>
      </c>
      <c r="BZ151" s="1503">
        <v>2074</v>
      </c>
      <c r="CA151" s="1503">
        <v>2075</v>
      </c>
      <c r="CB151" s="1503">
        <v>2076</v>
      </c>
      <c r="CC151" s="1503">
        <v>2077</v>
      </c>
      <c r="CD151" s="1503">
        <v>2078</v>
      </c>
      <c r="CE151" s="1503">
        <v>2079</v>
      </c>
      <c r="CF151" s="1503">
        <v>2080</v>
      </c>
      <c r="CG151" s="1503">
        <v>2081</v>
      </c>
      <c r="CH151" s="1503">
        <v>2082</v>
      </c>
      <c r="CI151" s="1503">
        <v>2083</v>
      </c>
      <c r="CJ151" s="1503">
        <v>2084</v>
      </c>
      <c r="CK151" s="1503">
        <v>2085</v>
      </c>
      <c r="CL151" s="1503">
        <v>2086</v>
      </c>
      <c r="CM151" s="1503">
        <v>2087</v>
      </c>
      <c r="CN151" s="1503">
        <v>2088</v>
      </c>
      <c r="CO151" s="1503">
        <v>2089</v>
      </c>
      <c r="CP151" s="1503">
        <v>2090</v>
      </c>
      <c r="CQ151" s="1503">
        <v>2091</v>
      </c>
      <c r="CR151" s="1503">
        <v>2092</v>
      </c>
      <c r="CS151" s="1503">
        <v>2093</v>
      </c>
      <c r="CT151" s="1503">
        <v>2094</v>
      </c>
      <c r="CU151" s="1503">
        <v>2095</v>
      </c>
      <c r="CV151" s="1503">
        <v>2096</v>
      </c>
      <c r="CW151" s="1503">
        <v>2097</v>
      </c>
      <c r="CX151" s="1503">
        <v>2098</v>
      </c>
      <c r="CY151" s="1503">
        <v>2099</v>
      </c>
      <c r="CZ151" s="1504">
        <v>2100</v>
      </c>
    </row>
    <row r="152" spans="1:104" x14ac:dyDescent="0.25">
      <c r="A152" s="1505" t="s">
        <v>1090</v>
      </c>
      <c r="B152" s="1506"/>
      <c r="C152" s="1506"/>
      <c r="D152" s="1506"/>
      <c r="E152" s="1506"/>
      <c r="F152" s="1506"/>
      <c r="G152" s="1506"/>
      <c r="H152" s="1506"/>
      <c r="I152" s="1506"/>
      <c r="J152" s="1506"/>
      <c r="K152" s="1506"/>
      <c r="L152" s="1506"/>
      <c r="M152" s="1506"/>
      <c r="N152" s="1506"/>
      <c r="O152" s="1506"/>
      <c r="P152" s="1506"/>
      <c r="Q152" s="1506"/>
      <c r="R152" s="1506"/>
      <c r="S152" s="1506"/>
      <c r="T152" s="1506"/>
      <c r="U152" s="1506"/>
      <c r="V152" s="1506"/>
      <c r="W152" s="1506"/>
      <c r="X152" s="1506"/>
      <c r="Y152" s="1506"/>
      <c r="Z152" s="1506"/>
      <c r="AA152" s="1506"/>
      <c r="AB152" s="1506"/>
      <c r="AC152" s="1506"/>
      <c r="AD152" s="1506"/>
      <c r="AE152" s="1506"/>
      <c r="AF152" s="1506"/>
      <c r="AG152" s="1506"/>
      <c r="AH152" s="1506"/>
      <c r="AI152" s="1506"/>
      <c r="AJ152" s="1506"/>
      <c r="AK152" s="1506"/>
      <c r="AL152" s="1506"/>
      <c r="AM152" s="1506"/>
      <c r="AN152" s="1506"/>
      <c r="AO152" s="1506"/>
      <c r="AP152" s="1506"/>
      <c r="AQ152" s="1506"/>
      <c r="AR152" s="1506"/>
      <c r="AS152" s="1506"/>
      <c r="AT152" s="1506"/>
      <c r="AU152" s="1506"/>
      <c r="AV152" s="1506"/>
      <c r="AW152" s="1506"/>
      <c r="AX152" s="1506"/>
      <c r="AY152" s="1506"/>
      <c r="AZ152" s="1506"/>
      <c r="BA152" s="1506"/>
      <c r="BB152" s="1506"/>
      <c r="BC152" s="1506"/>
      <c r="BD152" s="1506"/>
      <c r="BE152" s="1506"/>
      <c r="BF152" s="1506"/>
      <c r="BG152" s="1506"/>
      <c r="BH152" s="1506"/>
      <c r="BI152" s="1506"/>
      <c r="BJ152" s="1506"/>
      <c r="BK152" s="1506"/>
      <c r="BL152" s="1506"/>
      <c r="BM152" s="1506"/>
      <c r="BN152" s="1506"/>
      <c r="BO152" s="1506"/>
      <c r="BP152" s="1506"/>
      <c r="BQ152" s="1506"/>
      <c r="BR152" s="1506"/>
      <c r="BS152" s="1506"/>
      <c r="BT152" s="1506"/>
      <c r="BU152" s="1506"/>
      <c r="BV152" s="1506"/>
      <c r="BW152" s="1506"/>
      <c r="BX152" s="1506"/>
      <c r="BY152" s="1506"/>
      <c r="BZ152" s="1506"/>
      <c r="CA152" s="1506"/>
      <c r="CB152" s="1506"/>
      <c r="CC152" s="1506"/>
      <c r="CD152" s="1506"/>
      <c r="CE152" s="1506"/>
      <c r="CF152" s="1506"/>
      <c r="CG152" s="1506"/>
      <c r="CH152" s="1506"/>
      <c r="CI152" s="1506"/>
      <c r="CJ152" s="1506"/>
      <c r="CK152" s="1506"/>
      <c r="CL152" s="1506"/>
      <c r="CM152" s="1506"/>
      <c r="CN152" s="1506"/>
      <c r="CO152" s="1506"/>
      <c r="CP152" s="1506"/>
      <c r="CQ152" s="1506"/>
      <c r="CR152" s="1506"/>
      <c r="CS152" s="1506"/>
      <c r="CT152" s="1506"/>
      <c r="CU152" s="1506"/>
      <c r="CV152" s="1506"/>
      <c r="CW152" s="1506"/>
      <c r="CX152" s="1506"/>
      <c r="CY152" s="1506"/>
      <c r="CZ152" s="1507"/>
    </row>
    <row r="153" spans="1:104" x14ac:dyDescent="0.25">
      <c r="A153" s="1505" t="s">
        <v>681</v>
      </c>
      <c r="B153" s="1506"/>
      <c r="C153" s="1506"/>
      <c r="D153" s="1506"/>
      <c r="E153" s="1506"/>
      <c r="F153" s="1506"/>
      <c r="G153" s="1506"/>
      <c r="H153" s="1506">
        <v>13.604875014867702</v>
      </c>
      <c r="I153" s="1506">
        <v>15.571757228276402</v>
      </c>
      <c r="J153" s="1506">
        <v>16.331995797204218</v>
      </c>
      <c r="K153" s="1506">
        <v>15.155672177020728</v>
      </c>
      <c r="L153" s="1506">
        <v>15.783516201764996</v>
      </c>
      <c r="M153" s="1506">
        <v>13.69149010361817</v>
      </c>
      <c r="N153" s="1506">
        <v>12.691188457250465</v>
      </c>
      <c r="O153" s="1506">
        <v>12.04142243701838</v>
      </c>
      <c r="P153" s="1506">
        <v>11.415954621928984</v>
      </c>
      <c r="Q153" s="1506">
        <v>10.886628367710442</v>
      </c>
      <c r="R153" s="1506">
        <v>11.368469484946878</v>
      </c>
      <c r="S153" s="1506">
        <v>9.7183315387998359</v>
      </c>
      <c r="T153" s="1506">
        <v>9.390001099467705</v>
      </c>
      <c r="U153" s="1506">
        <v>10.023002570479671</v>
      </c>
      <c r="V153" s="1506">
        <v>10.033707215541167</v>
      </c>
      <c r="W153" s="1506">
        <v>10.158951752324048</v>
      </c>
      <c r="X153" s="1506">
        <v>10.289627280447673</v>
      </c>
      <c r="Y153" s="1506">
        <v>10.38663350570965</v>
      </c>
      <c r="Z153" s="1506">
        <v>10.458822090960101</v>
      </c>
      <c r="AA153" s="1506">
        <v>10.541361785535555</v>
      </c>
      <c r="AB153" s="1506">
        <v>10.671303703310535</v>
      </c>
      <c r="AC153" s="1506">
        <v>10.821196220864106</v>
      </c>
      <c r="AD153" s="1506">
        <v>10.961130973142659</v>
      </c>
      <c r="AE153" s="1506">
        <v>11.387951919139837</v>
      </c>
      <c r="AF153" s="1506">
        <v>11.524366479125279</v>
      </c>
      <c r="AG153" s="1506">
        <v>11.653679994237272</v>
      </c>
      <c r="AH153" s="1506">
        <v>11.727599293307653</v>
      </c>
      <c r="AI153" s="1506">
        <v>11.827238554162054</v>
      </c>
      <c r="AJ153" s="1506">
        <v>11.877874728924342</v>
      </c>
      <c r="AK153" s="1506">
        <v>11.891573527850655</v>
      </c>
      <c r="AL153" s="1506">
        <v>11.9827791131466</v>
      </c>
      <c r="AM153" s="1506">
        <v>12.163475682807357</v>
      </c>
      <c r="AN153" s="1506">
        <v>12.259449735369497</v>
      </c>
      <c r="AO153" s="1506">
        <v>12.356256919064013</v>
      </c>
      <c r="AP153" s="1506">
        <v>12.41256198723101</v>
      </c>
      <c r="AQ153" s="1506">
        <v>12.490714236969412</v>
      </c>
      <c r="AR153" s="1506">
        <v>12.496378391289182</v>
      </c>
      <c r="AS153" s="1506">
        <v>12.55376491863939</v>
      </c>
      <c r="AT153" s="1506">
        <v>12.651412816002184</v>
      </c>
      <c r="AU153" s="1506">
        <v>12.770777096192051</v>
      </c>
      <c r="AV153" s="1506">
        <v>12.886454368298935</v>
      </c>
      <c r="AW153" s="1506">
        <v>13.010888521557151</v>
      </c>
      <c r="AX153" s="1506">
        <v>13.118997475015544</v>
      </c>
      <c r="AY153" s="1506">
        <v>13.217679440712152</v>
      </c>
      <c r="AZ153" s="1506">
        <v>13.363983523149482</v>
      </c>
      <c r="BA153" s="1506">
        <v>13.453606254075613</v>
      </c>
      <c r="BB153" s="1506">
        <v>13.593337225701765</v>
      </c>
      <c r="BC153" s="1506">
        <v>13.668907227280409</v>
      </c>
      <c r="BD153" s="1506">
        <v>13.744897348292845</v>
      </c>
      <c r="BE153" s="1506">
        <v>13.821309924326409</v>
      </c>
      <c r="BF153" s="1506">
        <v>13.898147303952761</v>
      </c>
      <c r="BG153" s="1506">
        <v>13.975411848800078</v>
      </c>
      <c r="BH153" s="1506">
        <v>14.050424531225174</v>
      </c>
      <c r="BI153" s="1506">
        <v>14.12583984239463</v>
      </c>
      <c r="BJ153" s="1506">
        <v>14.201659943408417</v>
      </c>
      <c r="BK153" s="1506">
        <v>14.277887006966159</v>
      </c>
      <c r="BL153" s="1506">
        <v>14.354523217429389</v>
      </c>
      <c r="BM153" s="1506">
        <v>14.422221698840277</v>
      </c>
      <c r="BN153" s="1506">
        <v>14.490239458315362</v>
      </c>
      <c r="BO153" s="1506">
        <v>14.558578001626712</v>
      </c>
      <c r="BP153" s="1506">
        <v>14.627238841647882</v>
      </c>
      <c r="BQ153" s="1506">
        <v>14.696223498387408</v>
      </c>
      <c r="BR153" s="1506">
        <v>14.75529333521281</v>
      </c>
      <c r="BS153" s="1506">
        <v>14.814600596681556</v>
      </c>
      <c r="BT153" s="1506">
        <v>14.874146237095607</v>
      </c>
      <c r="BU153" s="1506">
        <v>14.933931214592636</v>
      </c>
      <c r="BV153" s="1506">
        <v>14.993956491161448</v>
      </c>
      <c r="BW153" s="1506">
        <v>15.043740835540882</v>
      </c>
      <c r="BX153" s="1506">
        <v>15.093690478582264</v>
      </c>
      <c r="BY153" s="1506">
        <v>15.143805969125756</v>
      </c>
      <c r="BZ153" s="1506">
        <v>15.19408785783383</v>
      </c>
      <c r="CA153" s="1506">
        <v>15.244536697197322</v>
      </c>
      <c r="CB153" s="1506">
        <v>15.277067444573643</v>
      </c>
      <c r="CC153" s="1506">
        <v>15.309667610230484</v>
      </c>
      <c r="CD153" s="1506">
        <v>15.342337342301477</v>
      </c>
      <c r="CE153" s="1506">
        <v>15.375076789236356</v>
      </c>
      <c r="CF153" s="1506">
        <v>15.407886099801638</v>
      </c>
      <c r="CG153" s="1506">
        <v>15.41853907481957</v>
      </c>
      <c r="CH153" s="1506">
        <v>15.42919941527855</v>
      </c>
      <c r="CI153" s="1506">
        <v>15.439867126271025</v>
      </c>
      <c r="CJ153" s="1506">
        <v>15.450542212892964</v>
      </c>
      <c r="CK153" s="1506">
        <v>15.461224680243861</v>
      </c>
      <c r="CL153" s="1506">
        <v>15.464845562477739</v>
      </c>
      <c r="CM153" s="1506">
        <v>15.468467292690251</v>
      </c>
      <c r="CN153" s="1506">
        <v>15.472089871079984</v>
      </c>
      <c r="CO153" s="1506">
        <v>15.475713297845573</v>
      </c>
      <c r="CP153" s="1506">
        <v>15.479337573185701</v>
      </c>
      <c r="CQ153" s="1506">
        <v>15.484830510437597</v>
      </c>
      <c r="CR153" s="1506">
        <v>15.490325396891745</v>
      </c>
      <c r="CS153" s="1506">
        <v>15.49582223323983</v>
      </c>
      <c r="CT153" s="1506">
        <v>15.501321020173785</v>
      </c>
      <c r="CU153" s="1506">
        <v>15.506821758385787</v>
      </c>
      <c r="CV153" s="1506">
        <v>15.515287417782641</v>
      </c>
      <c r="CW153" s="1506">
        <v>15.523757698847955</v>
      </c>
      <c r="CX153" s="1506">
        <v>15.532232604104841</v>
      </c>
      <c r="CY153" s="1506">
        <v>15.540712136077792</v>
      </c>
      <c r="CZ153" s="1507">
        <v>15.549196297292674</v>
      </c>
    </row>
    <row r="154" spans="1:104" x14ac:dyDescent="0.25">
      <c r="A154" s="1505" t="s">
        <v>1085</v>
      </c>
      <c r="B154" s="1506"/>
      <c r="C154" s="1506"/>
      <c r="D154" s="1506"/>
      <c r="E154" s="1506"/>
      <c r="F154" s="1506"/>
      <c r="G154" s="1506"/>
      <c r="H154" s="1506">
        <v>11.934322920018829</v>
      </c>
      <c r="I154" s="1506">
        <v>13.90423046997279</v>
      </c>
      <c r="J154" s="1506">
        <v>14.274140536522257</v>
      </c>
      <c r="K154" s="1506">
        <v>13.139550648884942</v>
      </c>
      <c r="L154" s="1506">
        <v>13.897221248926272</v>
      </c>
      <c r="M154" s="1506">
        <v>11.345666428533674</v>
      </c>
      <c r="N154" s="1506">
        <v>10.551848524158197</v>
      </c>
      <c r="O154" s="1506">
        <v>9.7270239269114924</v>
      </c>
      <c r="P154" s="1506">
        <v>8.6825570363966911</v>
      </c>
      <c r="Q154" s="1506">
        <v>8.5236392646415098</v>
      </c>
      <c r="R154" s="1506">
        <v>9.2232797097563566</v>
      </c>
      <c r="S154" s="1506">
        <v>7.6085885488542795</v>
      </c>
      <c r="T154" s="1506">
        <v>6.813801352724405</v>
      </c>
      <c r="U154" s="1506">
        <v>7.4731047451509687</v>
      </c>
      <c r="V154" s="1506">
        <v>7.9843107853990691</v>
      </c>
      <c r="W154" s="1506">
        <v>8.5650780622071245</v>
      </c>
      <c r="X154" s="1506">
        <v>9.1477570858798014</v>
      </c>
      <c r="Y154" s="1506">
        <v>9.2514909161219876</v>
      </c>
      <c r="Z154" s="1506">
        <v>9.3094669856386769</v>
      </c>
      <c r="AA154" s="1506">
        <v>9.3761326413005577</v>
      </c>
      <c r="AB154" s="1506">
        <v>9.4891655040111615</v>
      </c>
      <c r="AC154" s="1506">
        <v>9.6143446414218783</v>
      </c>
      <c r="AD154" s="1506">
        <v>9.7258827967425425</v>
      </c>
      <c r="AE154" s="1506">
        <v>10.087086372666475</v>
      </c>
      <c r="AF154" s="1506">
        <v>10.198695614261233</v>
      </c>
      <c r="AG154" s="1506">
        <v>10.304737378868989</v>
      </c>
      <c r="AH154" s="1506">
        <v>10.357640731866367</v>
      </c>
      <c r="AI154" s="1506">
        <v>10.427655972763532</v>
      </c>
      <c r="AJ154" s="1506">
        <v>10.453569289213085</v>
      </c>
      <c r="AK154" s="1506">
        <v>10.441948105124277</v>
      </c>
      <c r="AL154" s="1506">
        <v>10.506270757192036</v>
      </c>
      <c r="AM154" s="1506">
        <v>10.658282593530579</v>
      </c>
      <c r="AN154" s="1506">
        <v>10.722901912315555</v>
      </c>
      <c r="AO154" s="1506">
        <v>10.786351624937444</v>
      </c>
      <c r="AP154" s="1506">
        <v>10.817805879498341</v>
      </c>
      <c r="AQ154" s="1506">
        <v>10.86596540847121</v>
      </c>
      <c r="AR154" s="1506">
        <v>10.838793391061706</v>
      </c>
      <c r="AS154" s="1506">
        <v>10.868085675073171</v>
      </c>
      <c r="AT154" s="1506">
        <v>10.937640276914211</v>
      </c>
      <c r="AU154" s="1506">
        <v>11.027299024885883</v>
      </c>
      <c r="AV154" s="1506">
        <v>11.114692490256441</v>
      </c>
      <c r="AW154" s="1506">
        <v>11.212257927541287</v>
      </c>
      <c r="AX154" s="1506">
        <v>11.293368314098968</v>
      </c>
      <c r="AY154" s="1506">
        <v>11.35816487466068</v>
      </c>
      <c r="AZ154" s="1506">
        <v>11.46581792814789</v>
      </c>
      <c r="BA154" s="1506">
        <v>11.521194135666732</v>
      </c>
      <c r="BB154" s="1506">
        <v>11.628119265707223</v>
      </c>
      <c r="BC154" s="1506">
        <v>11.692763949840026</v>
      </c>
      <c r="BD154" s="1506">
        <v>11.757768015837698</v>
      </c>
      <c r="BE154" s="1506">
        <v>11.823133461626696</v>
      </c>
      <c r="BF154" s="1506">
        <v>11.888862296240635</v>
      </c>
      <c r="BG154" s="1506">
        <v>11.954956539882032</v>
      </c>
      <c r="BH154" s="1506">
        <v>12.019124477688386</v>
      </c>
      <c r="BI154" s="1506">
        <v>12.083636835336717</v>
      </c>
      <c r="BJ154" s="1506">
        <v>12.148495461492134</v>
      </c>
      <c r="BK154" s="1506">
        <v>12.213702214742405</v>
      </c>
      <c r="BL154" s="1506">
        <v>12.279258963651227</v>
      </c>
      <c r="BM154" s="1506">
        <v>12.337170130194249</v>
      </c>
      <c r="BN154" s="1506">
        <v>12.395354416085945</v>
      </c>
      <c r="BO154" s="1506">
        <v>12.453813109405683</v>
      </c>
      <c r="BP154" s="1506">
        <v>12.512547504307637</v>
      </c>
      <c r="BQ154" s="1506">
        <v>12.571558901049444</v>
      </c>
      <c r="BR154" s="1506">
        <v>12.622088884688262</v>
      </c>
      <c r="BS154" s="1506">
        <v>12.672821967979766</v>
      </c>
      <c r="BT154" s="1506">
        <v>12.723758967260437</v>
      </c>
      <c r="BU154" s="1506">
        <v>12.774900702147928</v>
      </c>
      <c r="BV154" s="1506">
        <v>12.826247995554251</v>
      </c>
      <c r="BW154" s="1506">
        <v>12.868834910334423</v>
      </c>
      <c r="BX154" s="1506">
        <v>12.911563226193937</v>
      </c>
      <c r="BY154" s="1506">
        <v>12.954433412625956</v>
      </c>
      <c r="BZ154" s="1506">
        <v>12.997445940682496</v>
      </c>
      <c r="CA154" s="1506">
        <v>13.040601282979605</v>
      </c>
      <c r="CB154" s="1506">
        <v>13.06842899033459</v>
      </c>
      <c r="CC154" s="1506">
        <v>13.096316080020177</v>
      </c>
      <c r="CD154" s="1506">
        <v>13.124262678753999</v>
      </c>
      <c r="CE154" s="1506">
        <v>13.152268913524093</v>
      </c>
      <c r="CF154" s="1506">
        <v>13.180334911589481</v>
      </c>
      <c r="CG154" s="1506">
        <v>13.189447763127433</v>
      </c>
      <c r="CH154" s="1506">
        <v>13.198566915268799</v>
      </c>
      <c r="CI154" s="1506">
        <v>13.207692372369801</v>
      </c>
      <c r="CJ154" s="1506">
        <v>13.216824138789674</v>
      </c>
      <c r="CK154" s="1506">
        <v>13.225962218890665</v>
      </c>
      <c r="CL154" s="1506">
        <v>13.22905962240266</v>
      </c>
      <c r="CM154" s="1506">
        <v>13.232157751299196</v>
      </c>
      <c r="CN154" s="1506">
        <v>13.23525660575015</v>
      </c>
      <c r="CO154" s="1506">
        <v>13.23835618592544</v>
      </c>
      <c r="CP154" s="1506">
        <v>13.241456491995026</v>
      </c>
      <c r="CQ154" s="1506">
        <v>13.246155303510076</v>
      </c>
      <c r="CR154" s="1506">
        <v>13.250855782427021</v>
      </c>
      <c r="CS154" s="1506">
        <v>13.255557929337549</v>
      </c>
      <c r="CT154" s="1506">
        <v>13.260261744833558</v>
      </c>
      <c r="CU154" s="1506">
        <v>13.264967229507157</v>
      </c>
      <c r="CV154" s="1506">
        <v>13.272208990341527</v>
      </c>
      <c r="CW154" s="1506">
        <v>13.279454704679821</v>
      </c>
      <c r="CX154" s="1506">
        <v>13.286704374680379</v>
      </c>
      <c r="CY154" s="1506">
        <v>13.293958002502723</v>
      </c>
      <c r="CZ154" s="1507">
        <v>13.30121559030755</v>
      </c>
    </row>
    <row r="155" spans="1:104" x14ac:dyDescent="0.25">
      <c r="A155" s="1505" t="s">
        <v>283</v>
      </c>
      <c r="B155" s="1506"/>
      <c r="C155" s="1506"/>
      <c r="D155" s="1506"/>
      <c r="E155" s="1506"/>
      <c r="F155" s="1506"/>
      <c r="G155" s="1506"/>
      <c r="H155" s="1506">
        <v>8.2641705904266125</v>
      </c>
      <c r="I155" s="1506">
        <v>10.495609596381577</v>
      </c>
      <c r="J155" s="1506">
        <v>9.3614571685358463</v>
      </c>
      <c r="K155" s="1506">
        <v>8.8987432965993278</v>
      </c>
      <c r="L155" s="1506">
        <v>10.965509816201024</v>
      </c>
      <c r="M155" s="1506">
        <v>6.0111731674040234</v>
      </c>
      <c r="N155" s="1506">
        <v>6.1171751211856922</v>
      </c>
      <c r="O155" s="1506">
        <v>5.6004077154944953</v>
      </c>
      <c r="P155" s="1506">
        <v>4.1590520124961925</v>
      </c>
      <c r="Q155" s="1506">
        <v>4.894763142071362</v>
      </c>
      <c r="R155" s="1506">
        <v>5.8241384234641265</v>
      </c>
      <c r="S155" s="1506">
        <v>3.5390282601113117</v>
      </c>
      <c r="T155" s="1506">
        <v>3.3168400539876552</v>
      </c>
      <c r="U155" s="1506">
        <v>3.8686572087168831</v>
      </c>
      <c r="V155" s="1506">
        <v>4.230424735748624</v>
      </c>
      <c r="W155" s="1506">
        <v>4.6374903322667231</v>
      </c>
      <c r="X155" s="1506">
        <v>5.0398775041324821</v>
      </c>
      <c r="Y155" s="1506">
        <v>5.0452222441273262</v>
      </c>
      <c r="Z155" s="1506">
        <v>4.9894479534735598</v>
      </c>
      <c r="AA155" s="1506">
        <v>5.0008757828968315</v>
      </c>
      <c r="AB155" s="1506">
        <v>5.0866427943161305</v>
      </c>
      <c r="AC155" s="1506">
        <v>5.1985543895300337</v>
      </c>
      <c r="AD155" s="1506">
        <v>5.3142743134013735</v>
      </c>
      <c r="AE155" s="1506">
        <v>5.4069765017212355</v>
      </c>
      <c r="AF155" s="1506">
        <v>5.498883471588238</v>
      </c>
      <c r="AG155" s="1506">
        <v>5.5761078084954727</v>
      </c>
      <c r="AH155" s="1506">
        <v>5.5953977798334869</v>
      </c>
      <c r="AI155" s="1506">
        <v>5.6194116710392619</v>
      </c>
      <c r="AJ155" s="1506">
        <v>5.6053299540498323</v>
      </c>
      <c r="AK155" s="1506">
        <v>5.5496627667157004</v>
      </c>
      <c r="AL155" s="1506">
        <v>5.5482476759527453</v>
      </c>
      <c r="AM155" s="1506">
        <v>5.6344516310034729</v>
      </c>
      <c r="AN155" s="1506">
        <v>5.6381945602887429</v>
      </c>
      <c r="AO155" s="1506">
        <v>5.6485162872871211</v>
      </c>
      <c r="AP155" s="1506">
        <v>5.6430123140383071</v>
      </c>
      <c r="AQ155" s="1506">
        <v>5.6644386648670784</v>
      </c>
      <c r="AR155" s="1506">
        <v>5.6215300420072483</v>
      </c>
      <c r="AS155" s="1506">
        <v>5.6260767200982693</v>
      </c>
      <c r="AT155" s="1506">
        <v>5.6802473044084865</v>
      </c>
      <c r="AU155" s="1506">
        <v>5.7631623345111542</v>
      </c>
      <c r="AV155" s="1506">
        <v>5.819991545472468</v>
      </c>
      <c r="AW155" s="1506">
        <v>5.8947240715184783</v>
      </c>
      <c r="AX155" s="1506">
        <v>5.9518546882819487</v>
      </c>
      <c r="AY155" s="1506">
        <v>6.0145186606208574</v>
      </c>
      <c r="AZ155" s="1506">
        <v>6.1247620979360331</v>
      </c>
      <c r="BA155" s="1506">
        <v>6.1606322318436177</v>
      </c>
      <c r="BB155" s="1506">
        <v>6.238633778680942</v>
      </c>
      <c r="BC155" s="1506">
        <v>6.2733164733478626</v>
      </c>
      <c r="BD155" s="1506">
        <v>6.3081919809530058</v>
      </c>
      <c r="BE155" s="1506">
        <v>6.3432613734093088</v>
      </c>
      <c r="BF155" s="1506">
        <v>6.3785257285888406</v>
      </c>
      <c r="BG155" s="1506">
        <v>6.4139861303559274</v>
      </c>
      <c r="BH155" s="1506">
        <v>6.4484130445592944</v>
      </c>
      <c r="BI155" s="1506">
        <v>6.4830247443854354</v>
      </c>
      <c r="BJ155" s="1506">
        <v>6.5178222216666768</v>
      </c>
      <c r="BK155" s="1506">
        <v>6.5528064735589808</v>
      </c>
      <c r="BL155" s="1506">
        <v>6.5879785025705191</v>
      </c>
      <c r="BM155" s="1506">
        <v>6.6190485794679574</v>
      </c>
      <c r="BN155" s="1506">
        <v>6.6502651883672899</v>
      </c>
      <c r="BO155" s="1506">
        <v>6.6816290203394662</v>
      </c>
      <c r="BP155" s="1506">
        <v>6.7131407697146503</v>
      </c>
      <c r="BQ155" s="1506">
        <v>6.7448011340975915</v>
      </c>
      <c r="BR155" s="1506">
        <v>6.7719111125525773</v>
      </c>
      <c r="BS155" s="1506">
        <v>6.7991300565526132</v>
      </c>
      <c r="BT155" s="1506">
        <v>6.8264584040725946</v>
      </c>
      <c r="BU155" s="1506">
        <v>6.8538965948478108</v>
      </c>
      <c r="BV155" s="1506">
        <v>6.8814450703810159</v>
      </c>
      <c r="BW155" s="1506">
        <v>6.904293491437457</v>
      </c>
      <c r="BX155" s="1506">
        <v>6.9272177759701634</v>
      </c>
      <c r="BY155" s="1506">
        <v>6.9502181758681845</v>
      </c>
      <c r="BZ155" s="1506">
        <v>6.9732949438569127</v>
      </c>
      <c r="CA155" s="1506">
        <v>6.996448333500866</v>
      </c>
      <c r="CB155" s="1506">
        <v>7.0113782521851409</v>
      </c>
      <c r="CC155" s="1506">
        <v>7.0263400302445289</v>
      </c>
      <c r="CD155" s="1506">
        <v>7.0413337356646508</v>
      </c>
      <c r="CE155" s="1506">
        <v>7.0563594365762032</v>
      </c>
      <c r="CF155" s="1506">
        <v>7.0714172012552687</v>
      </c>
      <c r="CG155" s="1506">
        <v>7.0763063619291211</v>
      </c>
      <c r="CH155" s="1506">
        <v>7.0811989029567863</v>
      </c>
      <c r="CI155" s="1506">
        <v>7.0860948266754322</v>
      </c>
      <c r="CJ155" s="1506">
        <v>7.090994135423843</v>
      </c>
      <c r="CK155" s="1506">
        <v>7.0958968315424205</v>
      </c>
      <c r="CL155" s="1506">
        <v>7.0975586278944007</v>
      </c>
      <c r="CM155" s="1506">
        <v>7.0992208134244059</v>
      </c>
      <c r="CN155" s="1506">
        <v>7.1008833882235782</v>
      </c>
      <c r="CO155" s="1506">
        <v>7.1025463523830812</v>
      </c>
      <c r="CP155" s="1506">
        <v>7.1042097059940996</v>
      </c>
      <c r="CQ155" s="1506">
        <v>7.1067306780935082</v>
      </c>
      <c r="CR155" s="1506">
        <v>7.1092525447752264</v>
      </c>
      <c r="CS155" s="1506">
        <v>7.1117753063567024</v>
      </c>
      <c r="CT155" s="1506">
        <v>7.1142989631554965</v>
      </c>
      <c r="CU155" s="1506">
        <v>7.1168235154892816</v>
      </c>
      <c r="CV155" s="1506">
        <v>7.1207088122192239</v>
      </c>
      <c r="CW155" s="1506">
        <v>7.1245962300542702</v>
      </c>
      <c r="CX155" s="1506">
        <v>7.1284857701523974</v>
      </c>
      <c r="CY155" s="1506">
        <v>7.1323774336722154</v>
      </c>
      <c r="CZ155" s="1507">
        <v>7.1362712217729669</v>
      </c>
    </row>
    <row r="156" spans="1:104" x14ac:dyDescent="0.25">
      <c r="A156" s="1505" t="s">
        <v>1086</v>
      </c>
      <c r="B156" s="1506"/>
      <c r="C156" s="1506"/>
      <c r="D156" s="1506"/>
      <c r="E156" s="1506"/>
      <c r="F156" s="1506"/>
      <c r="G156" s="1506"/>
      <c r="H156" s="1506">
        <v>8.4160389626855991</v>
      </c>
      <c r="I156" s="1506">
        <v>10.630483084185546</v>
      </c>
      <c r="J156" s="1506">
        <v>10.241695834954719</v>
      </c>
      <c r="K156" s="1506">
        <v>9.4549147526367854</v>
      </c>
      <c r="L156" s="1506">
        <v>10.431438353650302</v>
      </c>
      <c r="M156" s="1506">
        <v>7.3081429877632402</v>
      </c>
      <c r="N156" s="1506">
        <v>6.8860004096407268</v>
      </c>
      <c r="O156" s="1506">
        <v>6.1462564207083838</v>
      </c>
      <c r="P156" s="1506">
        <v>5.0701845410069568</v>
      </c>
      <c r="Q156" s="1506">
        <v>5.147940545971605</v>
      </c>
      <c r="R156" s="1506">
        <v>5.9174075441245835</v>
      </c>
      <c r="S156" s="1506">
        <v>4.3672641892083037</v>
      </c>
      <c r="T156" s="1506">
        <v>3.755553639162041</v>
      </c>
      <c r="U156" s="1506">
        <v>3.3468214009493336</v>
      </c>
      <c r="V156" s="1506">
        <v>3.6078009129373227</v>
      </c>
      <c r="W156" s="1506">
        <v>3.9595869792693468</v>
      </c>
      <c r="X156" s="1506">
        <v>4.2992239274502966</v>
      </c>
      <c r="Y156" s="1506">
        <v>4.3362295461094007</v>
      </c>
      <c r="Z156" s="1506">
        <v>4.2972619462853157</v>
      </c>
      <c r="AA156" s="1506">
        <v>4.3209431537283329</v>
      </c>
      <c r="AB156" s="1506">
        <v>4.4388231525151278</v>
      </c>
      <c r="AC156" s="1506">
        <v>4.5598555906037213</v>
      </c>
      <c r="AD156" s="1506">
        <v>4.6705511366221319</v>
      </c>
      <c r="AE156" s="1506">
        <v>4.7905826799714895</v>
      </c>
      <c r="AF156" s="1506">
        <v>4.8909868291351355</v>
      </c>
      <c r="AG156" s="1506">
        <v>4.9795195705251665</v>
      </c>
      <c r="AH156" s="1506">
        <v>5.0140428564929254</v>
      </c>
      <c r="AI156" s="1506">
        <v>5.034241784322349</v>
      </c>
      <c r="AJ156" s="1506">
        <v>5.0303794300966009</v>
      </c>
      <c r="AK156" s="1506">
        <v>4.9817061843162831</v>
      </c>
      <c r="AL156" s="1506">
        <v>5.005816752854825</v>
      </c>
      <c r="AM156" s="1506">
        <v>5.1117353012541518</v>
      </c>
      <c r="AN156" s="1506">
        <v>5.1218001698488047</v>
      </c>
      <c r="AO156" s="1506">
        <v>5.1563490468752367</v>
      </c>
      <c r="AP156" s="1506">
        <v>5.1654177598155924</v>
      </c>
      <c r="AQ156" s="1506">
        <v>5.1952502995101684</v>
      </c>
      <c r="AR156" s="1506">
        <v>5.1548078964528896</v>
      </c>
      <c r="AS156" s="1506">
        <v>5.1691436283950809</v>
      </c>
      <c r="AT156" s="1506">
        <v>5.2239208155775625</v>
      </c>
      <c r="AU156" s="1506">
        <v>5.3036701369405987</v>
      </c>
      <c r="AV156" s="1506">
        <v>5.3698761013633396</v>
      </c>
      <c r="AW156" s="1506">
        <v>5.4477553798092231</v>
      </c>
      <c r="AX156" s="1506">
        <v>5.5105548899774046</v>
      </c>
      <c r="AY156" s="1506">
        <v>5.5735610242489493</v>
      </c>
      <c r="AZ156" s="1506">
        <v>5.6745566112130543</v>
      </c>
      <c r="BA156" s="1506">
        <v>5.7069198222653581</v>
      </c>
      <c r="BB156" s="1506">
        <v>5.8107835034348891</v>
      </c>
      <c r="BC156" s="1506">
        <v>5.8430876323795795</v>
      </c>
      <c r="BD156" s="1506">
        <v>5.8755713510037442</v>
      </c>
      <c r="BE156" s="1506">
        <v>5.9082356577077126</v>
      </c>
      <c r="BF156" s="1506">
        <v>5.9410815564422617</v>
      </c>
      <c r="BG156" s="1506">
        <v>5.974110056739474</v>
      </c>
      <c r="BH156" s="1506">
        <v>6.006175946840397</v>
      </c>
      <c r="BI156" s="1506">
        <v>6.0384139498247791</v>
      </c>
      <c r="BJ156" s="1506">
        <v>6.0708249895043265</v>
      </c>
      <c r="BK156" s="1506">
        <v>6.1034099946492821</v>
      </c>
      <c r="BL156" s="1506">
        <v>6.1361698990150408</v>
      </c>
      <c r="BM156" s="1506">
        <v>6.1651091662794615</v>
      </c>
      <c r="BN156" s="1506">
        <v>6.1941849162690321</v>
      </c>
      <c r="BO156" s="1506">
        <v>6.2233977926605295</v>
      </c>
      <c r="BP156" s="1506">
        <v>6.2527484421664239</v>
      </c>
      <c r="BQ156" s="1506">
        <v>6.2822375145491964</v>
      </c>
      <c r="BR156" s="1506">
        <v>6.3074882699506478</v>
      </c>
      <c r="BS156" s="1506">
        <v>6.3328405179567433</v>
      </c>
      <c r="BT156" s="1506">
        <v>6.3582946665057261</v>
      </c>
      <c r="BU156" s="1506">
        <v>6.3838511251755019</v>
      </c>
      <c r="BV156" s="1506">
        <v>6.4095103051902287</v>
      </c>
      <c r="BW156" s="1506">
        <v>6.4307917640583545</v>
      </c>
      <c r="BX156" s="1506">
        <v>6.4521438836275307</v>
      </c>
      <c r="BY156" s="1506">
        <v>6.473566898512062</v>
      </c>
      <c r="BZ156" s="1506">
        <v>6.4950610441052419</v>
      </c>
      <c r="CA156" s="1506">
        <v>6.5166265565819383</v>
      </c>
      <c r="CB156" s="1506">
        <v>6.5305325700258869</v>
      </c>
      <c r="CC156" s="1506">
        <v>6.5444682579046409</v>
      </c>
      <c r="CD156" s="1506">
        <v>6.5584336835413142</v>
      </c>
      <c r="CE156" s="1506">
        <v>6.5724289103941489</v>
      </c>
      <c r="CF156" s="1506">
        <v>6.5864540020568016</v>
      </c>
      <c r="CG156" s="1506">
        <v>6.5910078603528843</v>
      </c>
      <c r="CH156" s="1506">
        <v>6.5955648671755291</v>
      </c>
      <c r="CI156" s="1506">
        <v>6.6001250247016205</v>
      </c>
      <c r="CJ156" s="1506">
        <v>6.6046883351095476</v>
      </c>
      <c r="CK156" s="1506">
        <v>6.6092548005792047</v>
      </c>
      <c r="CL156" s="1506">
        <v>6.6108026296665843</v>
      </c>
      <c r="CM156" s="1506">
        <v>6.6123508212418631</v>
      </c>
      <c r="CN156" s="1506">
        <v>6.6138993753899316</v>
      </c>
      <c r="CO156" s="1506">
        <v>6.6154482921957012</v>
      </c>
      <c r="CP156" s="1506">
        <v>6.6169975717441041</v>
      </c>
      <c r="CQ156" s="1506">
        <v>6.6193456536491393</v>
      </c>
      <c r="CR156" s="1506">
        <v>6.6216945687853457</v>
      </c>
      <c r="CS156" s="1506">
        <v>6.6240443174483996</v>
      </c>
      <c r="CT156" s="1506">
        <v>6.6263948999340831</v>
      </c>
      <c r="CU156" s="1506">
        <v>6.6287463165382841</v>
      </c>
      <c r="CV156" s="1506">
        <v>6.6323651566473876</v>
      </c>
      <c r="CW156" s="1506">
        <v>6.6359859723945851</v>
      </c>
      <c r="CX156" s="1506">
        <v>6.6396087648584388</v>
      </c>
      <c r="CY156" s="1506">
        <v>6.6432335351180996</v>
      </c>
      <c r="CZ156" s="1507">
        <v>6.6468602842533091</v>
      </c>
    </row>
    <row r="157" spans="1:104" x14ac:dyDescent="0.25">
      <c r="A157" s="1505" t="s">
        <v>1081</v>
      </c>
      <c r="B157" s="1506"/>
      <c r="C157" s="1506"/>
      <c r="D157" s="1506"/>
      <c r="E157" s="1506"/>
      <c r="F157" s="1506"/>
      <c r="G157" s="1506"/>
      <c r="H157" s="1506">
        <v>5.0967849132778742</v>
      </c>
      <c r="I157" s="1506">
        <v>5.0967849132778742</v>
      </c>
      <c r="J157" s="1506">
        <v>5.0967849132778742</v>
      </c>
      <c r="K157" s="1506">
        <v>5.0967849132778742</v>
      </c>
      <c r="L157" s="1506">
        <v>5.0967849132778742</v>
      </c>
      <c r="M157" s="1506">
        <v>5.0967849132778742</v>
      </c>
      <c r="N157" s="1506">
        <v>5.0967849132778742</v>
      </c>
      <c r="O157" s="1506">
        <v>5.0967849132778742</v>
      </c>
      <c r="P157" s="1506">
        <v>5.0967849132778742</v>
      </c>
      <c r="Q157" s="1506">
        <v>5.0967849132778742</v>
      </c>
      <c r="R157" s="1506">
        <v>5.0967849132778742</v>
      </c>
      <c r="S157" s="1506">
        <v>5.0967849132778742</v>
      </c>
      <c r="T157" s="1506">
        <v>5.0967849132778742</v>
      </c>
      <c r="U157" s="1506">
        <v>5.0967849132778742</v>
      </c>
      <c r="V157" s="1506">
        <v>5.0967849132778742</v>
      </c>
      <c r="W157" s="1506">
        <v>5.0967849132778742</v>
      </c>
      <c r="X157" s="1506">
        <v>5.0967849132778742</v>
      </c>
      <c r="Y157" s="1506">
        <v>5.0967849132778742</v>
      </c>
      <c r="Z157" s="1506">
        <v>5.0967849132778742</v>
      </c>
      <c r="AA157" s="1506">
        <v>5.0967849132778742</v>
      </c>
      <c r="AB157" s="1506">
        <v>5.0967849132778742</v>
      </c>
      <c r="AC157" s="1506">
        <v>5.0967849132778742</v>
      </c>
      <c r="AD157" s="1506">
        <v>5.0967849132778742</v>
      </c>
      <c r="AE157" s="1506">
        <v>5.0967849132778742</v>
      </c>
      <c r="AF157" s="1506">
        <v>5.0967849132778742</v>
      </c>
      <c r="AG157" s="1506">
        <v>5.0967849132778742</v>
      </c>
      <c r="AH157" s="1506">
        <v>5.0967849132778742</v>
      </c>
      <c r="AI157" s="1506">
        <v>5.0967849132778742</v>
      </c>
      <c r="AJ157" s="1506">
        <v>5.0967849132778742</v>
      </c>
      <c r="AK157" s="1506">
        <v>5.0967849132778742</v>
      </c>
      <c r="AL157" s="1506">
        <v>5.0967849132778742</v>
      </c>
      <c r="AM157" s="1506">
        <v>5.0967849132778742</v>
      </c>
      <c r="AN157" s="1506">
        <v>5.0967849132778742</v>
      </c>
      <c r="AO157" s="1506">
        <v>5.0967849132778742</v>
      </c>
      <c r="AP157" s="1506">
        <v>5.0967849132778742</v>
      </c>
      <c r="AQ157" s="1506">
        <v>5.0967849132778742</v>
      </c>
      <c r="AR157" s="1506">
        <v>5.0967849132778742</v>
      </c>
      <c r="AS157" s="1506">
        <v>5.0967849132778742</v>
      </c>
      <c r="AT157" s="1506">
        <v>5.0967849132778742</v>
      </c>
      <c r="AU157" s="1506">
        <v>5.0967849132778742</v>
      </c>
      <c r="AV157" s="1506">
        <v>5.0967849132778742</v>
      </c>
      <c r="AW157" s="1506">
        <v>5.0967849132778742</v>
      </c>
      <c r="AX157" s="1506">
        <v>5.0967849132778742</v>
      </c>
      <c r="AY157" s="1506">
        <v>5.0967849132778742</v>
      </c>
      <c r="AZ157" s="1506">
        <v>5.0967849132778742</v>
      </c>
      <c r="BA157" s="1506">
        <v>5.0967849132778742</v>
      </c>
      <c r="BB157" s="1506">
        <v>5.0967849132778742</v>
      </c>
      <c r="BC157" s="1506">
        <v>5.1179587571540939</v>
      </c>
      <c r="BD157" s="1506">
        <v>5.1392205646528959</v>
      </c>
      <c r="BE157" s="1506">
        <v>5.1605707012062227</v>
      </c>
      <c r="BF157" s="1506">
        <v>5.1820095337641501</v>
      </c>
      <c r="BG157" s="1506">
        <v>5.2035374308011946</v>
      </c>
      <c r="BH157" s="1506">
        <v>5.2223240063357927</v>
      </c>
      <c r="BI157" s="1506">
        <v>5.2411784079262249</v>
      </c>
      <c r="BJ157" s="1506">
        <v>5.2601008804480855</v>
      </c>
      <c r="BK157" s="1506">
        <v>5.2790916696610548</v>
      </c>
      <c r="BL157" s="1506">
        <v>5.2981510222120916</v>
      </c>
      <c r="BM157" s="1506">
        <v>5.3113630812048802</v>
      </c>
      <c r="BN157" s="1506">
        <v>5.3246080872582748</v>
      </c>
      <c r="BO157" s="1506">
        <v>5.3378861225327325</v>
      </c>
      <c r="BP157" s="1506">
        <v>5.3511972693935945</v>
      </c>
      <c r="BQ157" s="1506">
        <v>5.3645416104115968</v>
      </c>
      <c r="BR157" s="1506">
        <v>5.3779717491778074</v>
      </c>
      <c r="BS157" s="1506">
        <v>5.3914355103185612</v>
      </c>
      <c r="BT157" s="1506">
        <v>5.4049329780075288</v>
      </c>
      <c r="BU157" s="1506">
        <v>5.4184642366291094</v>
      </c>
      <c r="BV157" s="1506">
        <v>5.4320293707789578</v>
      </c>
      <c r="BW157" s="1506">
        <v>5.4450858323773135</v>
      </c>
      <c r="BX157" s="1506">
        <v>5.458173676572823</v>
      </c>
      <c r="BY157" s="1506">
        <v>5.471292978796904</v>
      </c>
      <c r="BZ157" s="1506">
        <v>5.4844438146622805</v>
      </c>
      <c r="CA157" s="1506">
        <v>5.4976262599634209</v>
      </c>
      <c r="CB157" s="1506">
        <v>5.509165721372697</v>
      </c>
      <c r="CC157" s="1506">
        <v>5.5207294039936956</v>
      </c>
      <c r="CD157" s="1506">
        <v>5.5323173586664938</v>
      </c>
      <c r="CE157" s="1506">
        <v>5.5439296363378796</v>
      </c>
      <c r="CF157" s="1506">
        <v>5.5555662880615797</v>
      </c>
      <c r="CG157" s="1506">
        <v>5.5698816197819898</v>
      </c>
      <c r="CH157" s="1506">
        <v>5.5842338386011479</v>
      </c>
      <c r="CI157" s="1506">
        <v>5.598623039568059</v>
      </c>
      <c r="CJ157" s="1506">
        <v>5.6130493179766479</v>
      </c>
      <c r="CK157" s="1506">
        <v>5.6275127693663878</v>
      </c>
      <c r="CL157" s="1506">
        <v>5.6395580019552014</v>
      </c>
      <c r="CM157" s="1506">
        <v>5.6516290163830023</v>
      </c>
      <c r="CN157" s="1506">
        <v>5.6637258678337163</v>
      </c>
      <c r="CO157" s="1506">
        <v>5.6758486116093856</v>
      </c>
      <c r="CP157" s="1506">
        <v>5.6879973031304223</v>
      </c>
      <c r="CQ157" s="1506">
        <v>5.6991168854631553</v>
      </c>
      <c r="CR157" s="1506">
        <v>5.7102582056949531</v>
      </c>
      <c r="CS157" s="1506">
        <v>5.7214213063216786</v>
      </c>
      <c r="CT157" s="1506">
        <v>5.732606229922272</v>
      </c>
      <c r="CU157" s="1506">
        <v>5.7438130191589121</v>
      </c>
      <c r="CV157" s="1506">
        <v>5.7570440466225028</v>
      </c>
      <c r="CW157" s="1506">
        <v>5.7703055521130002</v>
      </c>
      <c r="CX157" s="1506">
        <v>5.7835976058373566</v>
      </c>
      <c r="CY157" s="1506">
        <v>5.796920278164249</v>
      </c>
      <c r="CZ157" s="1507">
        <v>5.8102736396244499</v>
      </c>
    </row>
    <row r="158" spans="1:104" x14ac:dyDescent="0.25">
      <c r="A158" s="1505" t="s">
        <v>1087</v>
      </c>
      <c r="B158" s="1506"/>
      <c r="C158" s="1506"/>
      <c r="D158" s="1506"/>
      <c r="E158" s="1506"/>
      <c r="F158" s="1506"/>
      <c r="G158" s="1506"/>
      <c r="H158" s="1506" t="e">
        <v>#N/A</v>
      </c>
      <c r="I158" s="1506" t="e">
        <v>#N/A</v>
      </c>
      <c r="J158" s="1506" t="e">
        <v>#N/A</v>
      </c>
      <c r="K158" s="1506" t="e">
        <v>#N/A</v>
      </c>
      <c r="L158" s="1506">
        <v>2.2148742453355847</v>
      </c>
      <c r="M158" s="1506">
        <v>2.3408877437334223</v>
      </c>
      <c r="N158" s="1506">
        <v>2.3629142410275352</v>
      </c>
      <c r="O158" s="1506">
        <v>2.4181318326423913</v>
      </c>
      <c r="P158" s="1506">
        <v>2.3501923436687169</v>
      </c>
      <c r="Q158" s="1506">
        <v>2.2749877363600257</v>
      </c>
      <c r="R158" s="1506">
        <v>2.2671813119268305</v>
      </c>
      <c r="S158" s="1506">
        <v>2.0920368648072634</v>
      </c>
      <c r="T158" s="1506">
        <v>1.9706687398025258</v>
      </c>
      <c r="U158" s="1506">
        <v>2.067600203211962</v>
      </c>
      <c r="V158" s="1506">
        <v>2.1142782942327232</v>
      </c>
      <c r="W158" s="1506">
        <v>2.1573963846468813</v>
      </c>
      <c r="X158" s="1506">
        <v>2.1900363582596567</v>
      </c>
      <c r="Y158" s="1506">
        <v>2.1929897559939948</v>
      </c>
      <c r="Z158" s="1506">
        <v>2.2028650611910647</v>
      </c>
      <c r="AA158" s="1506">
        <v>2.2090827406317772</v>
      </c>
      <c r="AB158" s="1506">
        <v>2.2092997907220093</v>
      </c>
      <c r="AC158" s="1506">
        <v>2.2079918032786887</v>
      </c>
      <c r="AD158" s="1506">
        <v>2.2065492258230841</v>
      </c>
      <c r="AE158" s="1506">
        <v>2.1995552842692714</v>
      </c>
      <c r="AF158" s="1506">
        <v>2.1903510334996437</v>
      </c>
      <c r="AG158" s="1506">
        <v>2.1795345460335755</v>
      </c>
      <c r="AH158" s="1506">
        <v>2.1771697426487315</v>
      </c>
      <c r="AI158" s="1506">
        <v>2.177831318906295</v>
      </c>
      <c r="AJ158" s="1506">
        <v>2.1809505846135182</v>
      </c>
      <c r="AK158" s="1506">
        <v>2.1861806387528246</v>
      </c>
      <c r="AL158" s="1506">
        <v>2.1973402359685172</v>
      </c>
      <c r="AM158" s="1506">
        <v>2.2020565733003745</v>
      </c>
      <c r="AN158" s="1506">
        <v>2.2177912831167257</v>
      </c>
      <c r="AO158" s="1506">
        <v>2.2206593773221517</v>
      </c>
      <c r="AP158" s="1506">
        <v>2.2289385587115755</v>
      </c>
      <c r="AQ158" s="1506">
        <v>2.2351116907538557</v>
      </c>
      <c r="AR158" s="1506">
        <v>2.2481536525075447</v>
      </c>
      <c r="AS158" s="1506">
        <v>2.2492673374683427</v>
      </c>
      <c r="AT158" s="1506">
        <v>2.2496910116619402</v>
      </c>
      <c r="AU158" s="1506">
        <v>2.2544263053335558</v>
      </c>
      <c r="AV158" s="1506">
        <v>2.2540196918457411</v>
      </c>
      <c r="AW158" s="1506">
        <v>2.2546357728878843</v>
      </c>
      <c r="AX158" s="1506">
        <v>2.2490256441364247</v>
      </c>
      <c r="AY158" s="1506">
        <v>2.2531477002168603</v>
      </c>
      <c r="AZ158" s="1506">
        <v>2.2540841434009193</v>
      </c>
      <c r="BA158" s="1506">
        <v>2.2596705767276806</v>
      </c>
      <c r="BB158" s="1506">
        <v>2.2620458060993922</v>
      </c>
      <c r="BC158" s="1506">
        <v>2.2703711301923084</v>
      </c>
      <c r="BD158" s="1506">
        <v>2.2787270951418623</v>
      </c>
      <c r="BE158" s="1506">
        <v>2.2871138137198912</v>
      </c>
      <c r="BF158" s="1506">
        <v>2.2955313991132824</v>
      </c>
      <c r="BG158" s="1506">
        <v>2.3039799649255008</v>
      </c>
      <c r="BH158" s="1506">
        <v>2.3125787529279784</v>
      </c>
      <c r="BI158" s="1506">
        <v>2.3212096328567045</v>
      </c>
      <c r="BJ158" s="1506">
        <v>2.3298727244834101</v>
      </c>
      <c r="BK158" s="1506">
        <v>2.338568148026833</v>
      </c>
      <c r="BL158" s="1506">
        <v>2.3472960241543843</v>
      </c>
      <c r="BM158" s="1506">
        <v>2.3559838582312191</v>
      </c>
      <c r="BN158" s="1506">
        <v>2.3647038478010849</v>
      </c>
      <c r="BO158" s="1506">
        <v>2.3734561118781943</v>
      </c>
      <c r="BP158" s="1506">
        <v>2.3822407699172565</v>
      </c>
      <c r="BQ158" s="1506">
        <v>2.3910579418151077</v>
      </c>
      <c r="BR158" s="1506">
        <v>2.3997099382358895</v>
      </c>
      <c r="BS158" s="1506">
        <v>2.4083932417365861</v>
      </c>
      <c r="BT158" s="1506">
        <v>2.4171079656012542</v>
      </c>
      <c r="BU158" s="1506">
        <v>2.4258542235238663</v>
      </c>
      <c r="BV158" s="1506">
        <v>2.434632129609795</v>
      </c>
      <c r="BW158" s="1506">
        <v>2.4428635118796533</v>
      </c>
      <c r="BX158" s="1506">
        <v>2.4511227240845761</v>
      </c>
      <c r="BY158" s="1506">
        <v>2.4594098603163279</v>
      </c>
      <c r="BZ158" s="1506">
        <v>2.467725014984794</v>
      </c>
      <c r="CA158" s="1506">
        <v>2.476068282819055</v>
      </c>
      <c r="CB158" s="1506">
        <v>2.4831576550549128</v>
      </c>
      <c r="CC158" s="1506">
        <v>2.4902673252765117</v>
      </c>
      <c r="CD158" s="1506">
        <v>2.4973973516001715</v>
      </c>
      <c r="CE158" s="1506">
        <v>2.5045477923086086</v>
      </c>
      <c r="CF158" s="1506">
        <v>2.5117187058514112</v>
      </c>
      <c r="CG158" s="1506">
        <v>2.5171937058097216</v>
      </c>
      <c r="CH158" s="1506">
        <v>2.5226806400759916</v>
      </c>
      <c r="CI158" s="1506">
        <v>2.5281795346644143</v>
      </c>
      <c r="CJ158" s="1506">
        <v>2.5336904156458884</v>
      </c>
      <c r="CK158" s="1506">
        <v>2.539213309148141</v>
      </c>
      <c r="CL158" s="1506">
        <v>2.5429573704375228</v>
      </c>
      <c r="CM158" s="1506">
        <v>2.5467069523323964</v>
      </c>
      <c r="CN158" s="1506">
        <v>2.5504620629728754</v>
      </c>
      <c r="CO158" s="1506">
        <v>2.554222710511076</v>
      </c>
      <c r="CP158" s="1506">
        <v>2.5579889031111347</v>
      </c>
      <c r="CQ158" s="1506">
        <v>2.5592501421168059</v>
      </c>
      <c r="CR158" s="1506">
        <v>2.5605120029875006</v>
      </c>
      <c r="CS158" s="1506">
        <v>2.5617744860298348</v>
      </c>
      <c r="CT158" s="1506">
        <v>2.5630375915505756</v>
      </c>
      <c r="CU158" s="1506">
        <v>2.564301319856642</v>
      </c>
      <c r="CV158" s="1506">
        <v>2.5624850697467836</v>
      </c>
      <c r="CW158" s="1506">
        <v>2.5606701060553489</v>
      </c>
      <c r="CX158" s="1506">
        <v>2.5588564278711901</v>
      </c>
      <c r="CY158" s="1506">
        <v>2.5570440342838041</v>
      </c>
      <c r="CZ158" s="1507">
        <v>2.555232924383334</v>
      </c>
    </row>
    <row r="159" spans="1:104" x14ac:dyDescent="0.25">
      <c r="A159" s="1505" t="s">
        <v>683</v>
      </c>
      <c r="B159" s="1506"/>
      <c r="C159" s="1506"/>
      <c r="D159" s="1506"/>
      <c r="E159" s="1506"/>
      <c r="F159" s="1506"/>
      <c r="G159" s="1506"/>
      <c r="H159" s="1506">
        <v>28.373013628420669</v>
      </c>
      <c r="I159" s="1506">
        <v>29.17093293229123</v>
      </c>
      <c r="J159" s="1506">
        <v>30.878569780545078</v>
      </c>
      <c r="K159" s="1506">
        <v>30.682595180991225</v>
      </c>
      <c r="L159" s="1506">
        <v>31.992353762541459</v>
      </c>
      <c r="M159" s="1506">
        <v>31.4429334181984</v>
      </c>
      <c r="N159" s="1506">
        <v>31.156600892671783</v>
      </c>
      <c r="O159" s="1506">
        <v>30.676058322376605</v>
      </c>
      <c r="P159" s="1506">
        <v>29.679126186318804</v>
      </c>
      <c r="Q159" s="1506">
        <v>29.700131988890092</v>
      </c>
      <c r="R159" s="1506">
        <v>30.54196479432273</v>
      </c>
      <c r="S159" s="1506">
        <v>29.932211922183079</v>
      </c>
      <c r="T159" s="1506">
        <v>28.972214109999999</v>
      </c>
      <c r="U159" s="1506">
        <v>29.128232055928784</v>
      </c>
      <c r="V159" s="1506">
        <v>28.995688380521983</v>
      </c>
      <c r="W159" s="1506">
        <v>29.39475155821113</v>
      </c>
      <c r="X159" s="1506">
        <v>29.885964346916182</v>
      </c>
      <c r="Y159" s="1506">
        <v>30.089071101439163</v>
      </c>
      <c r="Z159" s="1506">
        <v>31.081689502737298</v>
      </c>
      <c r="AA159" s="1506">
        <v>31.400245105473072</v>
      </c>
      <c r="AB159" s="1506">
        <v>31.337976372818122</v>
      </c>
      <c r="AC159" s="1506">
        <v>31.854564117923594</v>
      </c>
      <c r="AD159" s="1506">
        <v>32.189964324168578</v>
      </c>
      <c r="AE159" s="1506">
        <v>32.274661250208517</v>
      </c>
      <c r="AF159" s="1506">
        <v>32.347049824843424</v>
      </c>
      <c r="AG159" s="1506">
        <v>32.398275541772193</v>
      </c>
      <c r="AH159" s="1506">
        <v>32.473329377777105</v>
      </c>
      <c r="AI159" s="1506">
        <v>32.424485524938959</v>
      </c>
      <c r="AJ159" s="1506">
        <v>32.33705604252286</v>
      </c>
      <c r="AK159" s="1506">
        <v>32.213589610409308</v>
      </c>
      <c r="AL159" s="1506">
        <v>32.123147965605618</v>
      </c>
      <c r="AM159" s="1506">
        <v>32.189031672252469</v>
      </c>
      <c r="AN159" s="1506">
        <v>32.20134665837643</v>
      </c>
      <c r="AO159" s="1506">
        <v>32.137342472816606</v>
      </c>
      <c r="AP159" s="1506">
        <v>32.106067355666433</v>
      </c>
      <c r="AQ159" s="1506">
        <v>32.055398007309563</v>
      </c>
      <c r="AR159" s="1506">
        <v>31.985796962436115</v>
      </c>
      <c r="AS159" s="1506">
        <v>31.883579639374592</v>
      </c>
      <c r="AT159" s="1506">
        <v>31.88043762605966</v>
      </c>
      <c r="AU159" s="1506">
        <v>31.921825950470875</v>
      </c>
      <c r="AV159" s="1506">
        <v>31.967798865652629</v>
      </c>
      <c r="AW159" s="1506">
        <v>32.011030694105337</v>
      </c>
      <c r="AX159" s="1506">
        <v>32.04019407500644</v>
      </c>
      <c r="AY159" s="1506">
        <v>32.084258086774547</v>
      </c>
      <c r="AZ159" s="1506">
        <v>32.12290532445671</v>
      </c>
      <c r="BA159" s="1506">
        <v>32.1438833578502</v>
      </c>
      <c r="BB159" s="1506">
        <v>32.210559439498944</v>
      </c>
      <c r="BC159" s="1506">
        <v>32.212518425109167</v>
      </c>
      <c r="BD159" s="1506">
        <v>32.214477529861206</v>
      </c>
      <c r="BE159" s="1506">
        <v>32.216436753762309</v>
      </c>
      <c r="BF159" s="1506">
        <v>32.218396096819724</v>
      </c>
      <c r="BG159" s="1506">
        <v>32.220355559040698</v>
      </c>
      <c r="BH159" s="1506">
        <v>32.225068562587758</v>
      </c>
      <c r="BI159" s="1506">
        <v>32.229782255525173</v>
      </c>
      <c r="BJ159" s="1506">
        <v>32.234496637953782</v>
      </c>
      <c r="BK159" s="1506">
        <v>32.239211709974448</v>
      </c>
      <c r="BL159" s="1506">
        <v>32.243927471688032</v>
      </c>
      <c r="BM159" s="1506">
        <v>32.234738373564198</v>
      </c>
      <c r="BN159" s="1506">
        <v>32.225551894213289</v>
      </c>
      <c r="BO159" s="1506">
        <v>32.216368032888994</v>
      </c>
      <c r="BP159" s="1506">
        <v>32.207186788845206</v>
      </c>
      <c r="BQ159" s="1506">
        <v>32.198008161336034</v>
      </c>
      <c r="BR159" s="1506">
        <v>32.188328675270981</v>
      </c>
      <c r="BS159" s="1506">
        <v>32.178652099089362</v>
      </c>
      <c r="BT159" s="1506">
        <v>32.168978431916393</v>
      </c>
      <c r="BU159" s="1506">
        <v>32.15930767287756</v>
      </c>
      <c r="BV159" s="1506">
        <v>32.14963982109861</v>
      </c>
      <c r="BW159" s="1506">
        <v>32.135484213462775</v>
      </c>
      <c r="BX159" s="1506">
        <v>32.121334838594358</v>
      </c>
      <c r="BY159" s="1506">
        <v>32.107191693749044</v>
      </c>
      <c r="BZ159" s="1506">
        <v>32.093054776183735</v>
      </c>
      <c r="CA159" s="1506">
        <v>32.078924083156537</v>
      </c>
      <c r="CB159" s="1506">
        <v>32.05322936592912</v>
      </c>
      <c r="CC159" s="1506">
        <v>32.027555229768936</v>
      </c>
      <c r="CD159" s="1506">
        <v>32.001901658190874</v>
      </c>
      <c r="CE159" s="1506">
        <v>31.976268634723027</v>
      </c>
      <c r="CF159" s="1506">
        <v>31.950656142906677</v>
      </c>
      <c r="CG159" s="1506">
        <v>31.915373500092528</v>
      </c>
      <c r="CH159" s="1506">
        <v>31.880129819385399</v>
      </c>
      <c r="CI159" s="1506">
        <v>31.844925057760001</v>
      </c>
      <c r="CJ159" s="1506">
        <v>31.809759172238564</v>
      </c>
      <c r="CK159" s="1506">
        <v>31.774632119890772</v>
      </c>
      <c r="CL159" s="1506">
        <v>31.736335048107414</v>
      </c>
      <c r="CM159" s="1506">
        <v>31.698084134709202</v>
      </c>
      <c r="CN159" s="1506">
        <v>31.659879324062725</v>
      </c>
      <c r="CO159" s="1506">
        <v>31.621720560601634</v>
      </c>
      <c r="CP159" s="1506">
        <v>31.583607788826551</v>
      </c>
      <c r="CQ159" s="1506">
        <v>31.539463246970023</v>
      </c>
      <c r="CR159" s="1506">
        <v>31.495380406125889</v>
      </c>
      <c r="CS159" s="1506">
        <v>31.451359180054389</v>
      </c>
      <c r="CT159" s="1506">
        <v>31.407399482636293</v>
      </c>
      <c r="CU159" s="1506">
        <v>31.363501227872742</v>
      </c>
      <c r="CV159" s="1506">
        <v>31.320648715953933</v>
      </c>
      <c r="CW159" s="1506">
        <v>31.277854754187555</v>
      </c>
      <c r="CX159" s="1506">
        <v>31.235119262575491</v>
      </c>
      <c r="CY159" s="1506">
        <v>31.192442161228929</v>
      </c>
      <c r="CZ159" s="1507">
        <v>31.1498233703682</v>
      </c>
    </row>
    <row r="160" spans="1:104" x14ac:dyDescent="0.25">
      <c r="A160" s="1505" t="s">
        <v>698</v>
      </c>
      <c r="B160" s="1506"/>
      <c r="C160" s="1506"/>
      <c r="D160" s="1506"/>
      <c r="E160" s="1506"/>
      <c r="F160" s="1506"/>
      <c r="G160" s="1506"/>
      <c r="H160" s="1506">
        <v>18.232352698801531</v>
      </c>
      <c r="I160" s="1506">
        <v>19.279059481202857</v>
      </c>
      <c r="J160" s="1506">
        <v>20.106975671052609</v>
      </c>
      <c r="K160" s="1506">
        <v>20.31728323383771</v>
      </c>
      <c r="L160" s="1506">
        <v>21.702415417864383</v>
      </c>
      <c r="M160" s="1506">
        <v>21.137326303769196</v>
      </c>
      <c r="N160" s="1506">
        <v>20.699724047437488</v>
      </c>
      <c r="O160" s="1506">
        <v>20.430734156114106</v>
      </c>
      <c r="P160" s="1506">
        <v>19.619402543384187</v>
      </c>
      <c r="Q160" s="1506">
        <v>19.94482547791937</v>
      </c>
      <c r="R160" s="1506">
        <v>20.190684361237558</v>
      </c>
      <c r="S160" s="1506">
        <v>19.439058682545589</v>
      </c>
      <c r="T160" s="1506">
        <v>18.777772519999996</v>
      </c>
      <c r="U160" s="1506">
        <v>19.537493744407882</v>
      </c>
      <c r="V160" s="1506">
        <v>19.094688812726531</v>
      </c>
      <c r="W160" s="1506">
        <v>19.340880484069093</v>
      </c>
      <c r="X160" s="1506">
        <v>19.700726786066333</v>
      </c>
      <c r="Y160" s="1506">
        <v>19.809231927025674</v>
      </c>
      <c r="Z160" s="1506">
        <v>20.448628319255093</v>
      </c>
      <c r="AA160" s="1506">
        <v>20.513438149254636</v>
      </c>
      <c r="AB160" s="1506">
        <v>20.459361398826221</v>
      </c>
      <c r="AC160" s="1506">
        <v>20.950622526197662</v>
      </c>
      <c r="AD160" s="1506">
        <v>21.163384692376518</v>
      </c>
      <c r="AE160" s="1506">
        <v>21.285322295688569</v>
      </c>
      <c r="AF160" s="1506">
        <v>21.423623959296947</v>
      </c>
      <c r="AG160" s="1506">
        <v>21.53228264660833</v>
      </c>
      <c r="AH160" s="1506">
        <v>21.607771530610695</v>
      </c>
      <c r="AI160" s="1506">
        <v>21.635145433038627</v>
      </c>
      <c r="AJ160" s="1506">
        <v>21.585785019942069</v>
      </c>
      <c r="AK160" s="1506">
        <v>21.508628925857963</v>
      </c>
      <c r="AL160" s="1506">
        <v>21.446118499871098</v>
      </c>
      <c r="AM160" s="1506">
        <v>21.521952389257063</v>
      </c>
      <c r="AN160" s="1506">
        <v>21.600204159779199</v>
      </c>
      <c r="AO160" s="1506">
        <v>21.583872325260458</v>
      </c>
      <c r="AP160" s="1506">
        <v>21.588666383585327</v>
      </c>
      <c r="AQ160" s="1506">
        <v>21.605374501448264</v>
      </c>
      <c r="AR160" s="1506">
        <v>21.554715579078266</v>
      </c>
      <c r="AS160" s="1506">
        <v>21.491324631109631</v>
      </c>
      <c r="AT160" s="1506">
        <v>21.516251270074765</v>
      </c>
      <c r="AU160" s="1506">
        <v>21.58191413536343</v>
      </c>
      <c r="AV160" s="1506">
        <v>21.663232093841465</v>
      </c>
      <c r="AW160" s="1506">
        <v>21.742367229796333</v>
      </c>
      <c r="AX160" s="1506">
        <v>21.822824570449338</v>
      </c>
      <c r="AY160" s="1506">
        <v>21.895024529503647</v>
      </c>
      <c r="AZ160" s="1506">
        <v>21.976239175929997</v>
      </c>
      <c r="BA160" s="1506">
        <v>22.046603213478718</v>
      </c>
      <c r="BB160" s="1506">
        <v>22.114819497732821</v>
      </c>
      <c r="BC160" s="1506">
        <v>22.13487665280584</v>
      </c>
      <c r="BD160" s="1506">
        <v>22.15495199882406</v>
      </c>
      <c r="BE160" s="1506">
        <v>22.175045552285859</v>
      </c>
      <c r="BF160" s="1506">
        <v>22.195157329704575</v>
      </c>
      <c r="BG160" s="1506">
        <v>22.215287347608523</v>
      </c>
      <c r="BH160" s="1506">
        <v>22.237407284551185</v>
      </c>
      <c r="BI160" s="1506">
        <v>22.259549246489641</v>
      </c>
      <c r="BJ160" s="1506">
        <v>22.281713255354351</v>
      </c>
      <c r="BK160" s="1506">
        <v>22.303899333097611</v>
      </c>
      <c r="BL160" s="1506">
        <v>22.326107501693581</v>
      </c>
      <c r="BM160" s="1506">
        <v>22.336823207612067</v>
      </c>
      <c r="BN160" s="1506">
        <v>22.347544056673097</v>
      </c>
      <c r="BO160" s="1506">
        <v>22.358270051345187</v>
      </c>
      <c r="BP160" s="1506">
        <v>22.369001194098043</v>
      </c>
      <c r="BQ160" s="1506">
        <v>22.379737487402554</v>
      </c>
      <c r="BR160" s="1506">
        <v>22.390100389733625</v>
      </c>
      <c r="BS160" s="1506">
        <v>22.400468090590362</v>
      </c>
      <c r="BT160" s="1506">
        <v>22.410840592194713</v>
      </c>
      <c r="BU160" s="1506">
        <v>22.421217896769658</v>
      </c>
      <c r="BV160" s="1506">
        <v>22.431600006539206</v>
      </c>
      <c r="BW160" s="1506">
        <v>22.438377931004013</v>
      </c>
      <c r="BX160" s="1506">
        <v>22.44515790348412</v>
      </c>
      <c r="BY160" s="1506">
        <v>22.451939924598356</v>
      </c>
      <c r="BZ160" s="1506">
        <v>22.458723994965737</v>
      </c>
      <c r="CA160" s="1506">
        <v>22.465510115205461</v>
      </c>
      <c r="CB160" s="1506">
        <v>22.462969438648798</v>
      </c>
      <c r="CC160" s="1506">
        <v>22.46042904942313</v>
      </c>
      <c r="CD160" s="1506">
        <v>22.45788894749596</v>
      </c>
      <c r="CE160" s="1506">
        <v>22.455349132834797</v>
      </c>
      <c r="CF160" s="1506">
        <v>22.452809605407158</v>
      </c>
      <c r="CG160" s="1506">
        <v>22.442624812220661</v>
      </c>
      <c r="CH160" s="1506">
        <v>22.432444638946507</v>
      </c>
      <c r="CI160" s="1506">
        <v>22.422269083489063</v>
      </c>
      <c r="CJ160" s="1506">
        <v>22.412098143753649</v>
      </c>
      <c r="CK160" s="1506">
        <v>22.401931817646531</v>
      </c>
      <c r="CL160" s="1506">
        <v>22.389459823741635</v>
      </c>
      <c r="CM160" s="1506">
        <v>22.376994773462549</v>
      </c>
      <c r="CN160" s="1506">
        <v>22.364536662943497</v>
      </c>
      <c r="CO160" s="1506">
        <v>22.352085488320853</v>
      </c>
      <c r="CP160" s="1506">
        <v>22.339641245733144</v>
      </c>
      <c r="CQ160" s="1506">
        <v>22.322592014179389</v>
      </c>
      <c r="CR160" s="1506">
        <v>22.305555794307125</v>
      </c>
      <c r="CS160" s="1506">
        <v>22.288532576186064</v>
      </c>
      <c r="CT160" s="1506">
        <v>22.271522349893491</v>
      </c>
      <c r="CU160" s="1506">
        <v>22.254525105514261</v>
      </c>
      <c r="CV160" s="1506">
        <v>22.238544472899552</v>
      </c>
      <c r="CW160" s="1506">
        <v>22.222575315731635</v>
      </c>
      <c r="CX160" s="1506">
        <v>22.206617625770171</v>
      </c>
      <c r="CY160" s="1506">
        <v>22.190671394780733</v>
      </c>
      <c r="CZ160" s="1507">
        <v>22.174736614534808</v>
      </c>
    </row>
    <row r="161" spans="1:104" x14ac:dyDescent="0.25">
      <c r="A161" s="1508" t="s">
        <v>684</v>
      </c>
      <c r="B161" s="1509"/>
      <c r="C161" s="1509"/>
      <c r="D161" s="1509"/>
      <c r="E161" s="1509"/>
      <c r="F161" s="1509"/>
      <c r="G161" s="1509"/>
      <c r="H161" s="1509">
        <v>31.081820315099751</v>
      </c>
      <c r="I161" s="1509">
        <v>31.795307521355493</v>
      </c>
      <c r="J161" s="1509">
        <v>33.946842042036877</v>
      </c>
      <c r="K161" s="1509">
        <v>33.862138723062856</v>
      </c>
      <c r="L161" s="1509">
        <v>35.110516897292094</v>
      </c>
      <c r="M161" s="1509">
        <v>35.620882248372396</v>
      </c>
      <c r="N161" s="1509">
        <v>35.284315436843215</v>
      </c>
      <c r="O161" s="1509">
        <v>35.109707376782602</v>
      </c>
      <c r="P161" s="1509">
        <v>34.944303180720262</v>
      </c>
      <c r="Q161" s="1509">
        <v>35.113313940081568</v>
      </c>
      <c r="R161" s="1509">
        <v>35.603854676435802</v>
      </c>
      <c r="S161" s="1509">
        <v>35.586699324775935</v>
      </c>
      <c r="T161" s="1509">
        <v>34.861101349999998</v>
      </c>
      <c r="U161" s="1509">
        <v>34.664653819323334</v>
      </c>
      <c r="V161" s="1509">
        <v>34.410290069910978</v>
      </c>
      <c r="W161" s="1509">
        <v>34.908531869398402</v>
      </c>
      <c r="X161" s="1509">
        <v>35.616671532127199</v>
      </c>
      <c r="Y161" s="1509">
        <v>35.947520321196222</v>
      </c>
      <c r="Z161" s="1509">
        <v>36.987705865849776</v>
      </c>
      <c r="AA161" s="1509">
        <v>37.546039262370911</v>
      </c>
      <c r="AB161" s="1509">
        <v>37.510823122184988</v>
      </c>
      <c r="AC161" s="1509">
        <v>38.008797637281816</v>
      </c>
      <c r="AD161" s="1509">
        <v>38.419808048103611</v>
      </c>
      <c r="AE161" s="1509">
        <v>38.480927078752217</v>
      </c>
      <c r="AF161" s="1509">
        <v>38.529894147798792</v>
      </c>
      <c r="AG161" s="1509">
        <v>38.610432052895767</v>
      </c>
      <c r="AH161" s="1509">
        <v>38.669048846696292</v>
      </c>
      <c r="AI161" s="1509">
        <v>38.631731396248163</v>
      </c>
      <c r="AJ161" s="1509">
        <v>38.567872226687491</v>
      </c>
      <c r="AK161" s="1509">
        <v>38.465126969563705</v>
      </c>
      <c r="AL161" s="1509">
        <v>38.413723063041203</v>
      </c>
      <c r="AM161" s="1509">
        <v>38.515467425425761</v>
      </c>
      <c r="AN161" s="1509">
        <v>38.527084818246614</v>
      </c>
      <c r="AO161" s="1509">
        <v>38.521472793861179</v>
      </c>
      <c r="AP161" s="1509">
        <v>38.546973809920992</v>
      </c>
      <c r="AQ161" s="1509">
        <v>38.560691565187064</v>
      </c>
      <c r="AR161" s="1509">
        <v>38.568356561168315</v>
      </c>
      <c r="AS161" s="1509">
        <v>38.569368829711408</v>
      </c>
      <c r="AT161" s="1509">
        <v>38.651143635977618</v>
      </c>
      <c r="AU161" s="1509">
        <v>38.781520601750053</v>
      </c>
      <c r="AV161" s="1509">
        <v>38.929117506558889</v>
      </c>
      <c r="AW161" s="1509">
        <v>39.08758776785308</v>
      </c>
      <c r="AX161" s="1509">
        <v>39.228047610742941</v>
      </c>
      <c r="AY161" s="1509">
        <v>39.393119417357944</v>
      </c>
      <c r="AZ161" s="1509">
        <v>39.595269824540118</v>
      </c>
      <c r="BA161" s="1509">
        <v>39.769550621009692</v>
      </c>
      <c r="BB161" s="1509">
        <v>39.980674011616443</v>
      </c>
      <c r="BC161" s="1509">
        <v>39.983105560972888</v>
      </c>
      <c r="BD161" s="1509">
        <v>39.985537258211586</v>
      </c>
      <c r="BE161" s="1509">
        <v>39.987969103341534</v>
      </c>
      <c r="BF161" s="1509">
        <v>39.990401096371727</v>
      </c>
      <c r="BG161" s="1509">
        <v>39.99283323731116</v>
      </c>
      <c r="BH161" s="1509">
        <v>39.998683153044055</v>
      </c>
      <c r="BI161" s="1509">
        <v>40.00453392446812</v>
      </c>
      <c r="BJ161" s="1509">
        <v>40.010385551708517</v>
      </c>
      <c r="BK161" s="1509">
        <v>40.016238034890421</v>
      </c>
      <c r="BL161" s="1509">
        <v>40.022091374139045</v>
      </c>
      <c r="BM161" s="1509">
        <v>40.01068560090993</v>
      </c>
      <c r="BN161" s="1509">
        <v>39.999283078177193</v>
      </c>
      <c r="BO161" s="1509">
        <v>39.987883805014484</v>
      </c>
      <c r="BP161" s="1509">
        <v>39.976487780495717</v>
      </c>
      <c r="BQ161" s="1509">
        <v>39.965095003695069</v>
      </c>
      <c r="BR161" s="1509">
        <v>39.953080546830584</v>
      </c>
      <c r="BS161" s="1509">
        <v>39.941069701797218</v>
      </c>
      <c r="BT161" s="1509">
        <v>39.929062467509169</v>
      </c>
      <c r="BU161" s="1509">
        <v>39.917058842880955</v>
      </c>
      <c r="BV161" s="1509">
        <v>39.905058826827435</v>
      </c>
      <c r="BW161" s="1509">
        <v>39.887488478960996</v>
      </c>
      <c r="BX161" s="1509">
        <v>39.869925867384971</v>
      </c>
      <c r="BY161" s="1509">
        <v>39.852370988693046</v>
      </c>
      <c r="BZ161" s="1509">
        <v>39.8348238394804</v>
      </c>
      <c r="CA161" s="1509">
        <v>39.817284416343718</v>
      </c>
      <c r="CB161" s="1509">
        <v>39.785391393336162</v>
      </c>
      <c r="CC161" s="1509">
        <v>39.75352391614198</v>
      </c>
      <c r="CD161" s="1509">
        <v>39.721681964299371</v>
      </c>
      <c r="CE161" s="1509">
        <v>39.689865517362925</v>
      </c>
      <c r="CF161" s="1509">
        <v>39.658074554903607</v>
      </c>
      <c r="CG161" s="1509">
        <v>39.614280722534119</v>
      </c>
      <c r="CH161" s="1509">
        <v>39.57053525105394</v>
      </c>
      <c r="CI161" s="1509">
        <v>39.526838087058842</v>
      </c>
      <c r="CJ161" s="1509">
        <v>39.48318917720357</v>
      </c>
      <c r="CK161" s="1509">
        <v>39.439588468201791</v>
      </c>
      <c r="CL161" s="1509">
        <v>39.392053039782866</v>
      </c>
      <c r="CM161" s="1509">
        <v>39.344574904480901</v>
      </c>
      <c r="CN161" s="1509">
        <v>39.297153993242112</v>
      </c>
      <c r="CO161" s="1509">
        <v>39.249790237095944</v>
      </c>
      <c r="CP161" s="1509">
        <v>39.202483567154964</v>
      </c>
      <c r="CQ161" s="1509">
        <v>39.147690090479308</v>
      </c>
      <c r="CR161" s="1509">
        <v>39.092973198877175</v>
      </c>
      <c r="CS161" s="1509">
        <v>39.038332785305279</v>
      </c>
      <c r="CT161" s="1509">
        <v>38.983768742869955</v>
      </c>
      <c r="CU161" s="1509">
        <v>38.929280964826951</v>
      </c>
      <c r="CV161" s="1509">
        <v>38.876091192919297</v>
      </c>
      <c r="CW161" s="1509">
        <v>38.822974095147039</v>
      </c>
      <c r="CX161" s="1509">
        <v>38.769929572214203</v>
      </c>
      <c r="CY161" s="1509">
        <v>38.716957524960492</v>
      </c>
      <c r="CZ161" s="1510">
        <v>38.66405785436109</v>
      </c>
    </row>
    <row r="202" spans="1:2" ht="14" x14ac:dyDescent="0.3">
      <c r="A202" s="2"/>
      <c r="B202" s="2"/>
    </row>
    <row r="203" spans="1:2" ht="14" x14ac:dyDescent="0.3">
      <c r="A203" s="2"/>
      <c r="B203" s="2"/>
    </row>
    <row r="249" spans="1:29" x14ac:dyDescent="0.25">
      <c r="A249" s="33"/>
    </row>
    <row r="251" spans="1:29" x14ac:dyDescent="0.25">
      <c r="AC251" s="28"/>
    </row>
    <row r="252" spans="1:29" x14ac:dyDescent="0.25">
      <c r="AC252" s="28"/>
    </row>
    <row r="253" spans="1:29" x14ac:dyDescent="0.25">
      <c r="AC253" s="28"/>
    </row>
    <row r="254" spans="1: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5" x14ac:dyDescent="0.25"/>
  <cols>
    <col min="1" max="1" width="27.81640625" customWidth="1"/>
    <col min="2" max="2" width="12.7265625" customWidth="1"/>
    <col min="3" max="3" width="19.81640625" customWidth="1"/>
    <col min="4" max="4" width="28.26953125" customWidth="1"/>
    <col min="5" max="5" width="16.54296875" customWidth="1"/>
    <col min="6" max="6" width="11.453125" customWidth="1"/>
    <col min="7" max="7" width="9.7265625" customWidth="1"/>
    <col min="8" max="8" width="10.26953125" customWidth="1"/>
    <col min="9" max="9" width="10.453125" customWidth="1"/>
    <col min="10" max="10" width="9.54296875" customWidth="1"/>
    <col min="11" max="12" width="10" customWidth="1"/>
    <col min="13" max="13" width="10.7265625" customWidth="1"/>
    <col min="14" max="14" width="9.54296875" customWidth="1"/>
    <col min="15" max="15" width="10.7265625" customWidth="1"/>
    <col min="16" max="16" width="10.26953125" customWidth="1"/>
    <col min="17" max="17" width="9.54296875" customWidth="1"/>
    <col min="18" max="18" width="9.7265625" customWidth="1"/>
    <col min="19" max="19" width="10" customWidth="1"/>
    <col min="20" max="21" width="9.7265625" customWidth="1"/>
    <col min="22" max="22" width="10" customWidth="1"/>
    <col min="23" max="24" width="9.7265625" customWidth="1"/>
    <col min="25" max="25" width="10" customWidth="1"/>
    <col min="26" max="26" width="9.7265625" customWidth="1"/>
    <col min="27" max="27" width="10.7265625" customWidth="1"/>
    <col min="28" max="28" width="10.26953125" customWidth="1"/>
    <col min="29" max="29" width="10" customWidth="1"/>
    <col min="30" max="30" width="9.7265625" customWidth="1"/>
    <col min="31" max="31" width="10.26953125" customWidth="1"/>
    <col min="32" max="32" width="10.453125" customWidth="1"/>
    <col min="33" max="33" width="9.54296875" customWidth="1"/>
    <col min="34" max="34" width="10" customWidth="1"/>
    <col min="35" max="35" width="9.26953125" customWidth="1"/>
    <col min="36" max="36" width="10" customWidth="1"/>
    <col min="37" max="37" width="10.26953125" customWidth="1"/>
    <col min="38" max="38" width="9.7265625" customWidth="1"/>
    <col min="39" max="39" width="9.54296875" customWidth="1"/>
    <col min="40" max="40" width="9.7265625" customWidth="1"/>
    <col min="41" max="41" width="10.26953125" customWidth="1"/>
    <col min="42" max="44" width="9.7265625" customWidth="1"/>
    <col min="45" max="45" width="9.26953125" customWidth="1"/>
    <col min="46" max="46" width="9.54296875" customWidth="1"/>
    <col min="47" max="47" width="9.7265625" customWidth="1"/>
    <col min="48" max="48" width="10.26953125" customWidth="1"/>
    <col min="49" max="49" width="10.453125" customWidth="1"/>
    <col min="50" max="50" width="9.54296875" customWidth="1"/>
    <col min="51" max="52" width="9.7265625" customWidth="1"/>
    <col min="53" max="54" width="9.54296875" customWidth="1"/>
    <col min="55" max="55" width="9.7265625" customWidth="1"/>
    <col min="56" max="56" width="9.54296875" customWidth="1"/>
    <col min="57" max="59" width="9.7265625" customWidth="1"/>
    <col min="60" max="60" width="9.54296875" customWidth="1"/>
    <col min="61" max="61" width="9.7265625" customWidth="1"/>
    <col min="62" max="62" width="9.54296875" customWidth="1"/>
    <col min="63" max="63" width="9.7265625" customWidth="1"/>
    <col min="64" max="64" width="10.26953125" customWidth="1"/>
    <col min="65" max="65" width="9.7265625" customWidth="1"/>
    <col min="66" max="66" width="10.26953125" customWidth="1"/>
    <col min="67" max="67" width="9.54296875" customWidth="1"/>
    <col min="68" max="68" width="9.7265625" customWidth="1"/>
    <col min="69" max="69" width="9.54296875" customWidth="1"/>
    <col min="70" max="70" width="9.7265625" customWidth="1"/>
    <col min="71" max="71" width="10.26953125" customWidth="1"/>
    <col min="72" max="72" width="9.7265625" customWidth="1"/>
    <col min="73" max="74" width="9.54296875" customWidth="1"/>
  </cols>
  <sheetData>
    <row r="1" spans="1:104" ht="53" thickTop="1" thickBot="1" x14ac:dyDescent="0.35">
      <c r="A1" s="223" t="s">
        <v>1050</v>
      </c>
      <c r="B1" s="224" t="s">
        <v>1049</v>
      </c>
      <c r="C1" s="902" t="s">
        <v>678</v>
      </c>
      <c r="D1" s="902"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 thickTop="1" x14ac:dyDescent="0.25">
      <c r="A2" t="s">
        <v>1045</v>
      </c>
      <c r="B2" s="463"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1046</v>
      </c>
      <c r="B3" s="463"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1047</v>
      </c>
      <c r="B4" s="463"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1048</v>
      </c>
      <c r="B5" s="463"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674</v>
      </c>
      <c r="B6" s="463"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63" t="s">
        <v>1088</v>
      </c>
      <c r="B7" s="463"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63" t="s">
        <v>822</v>
      </c>
      <c r="B8" s="463"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5" x14ac:dyDescent="0.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2" ht="15.5" x14ac:dyDescent="0.35">
      <c r="A1" s="1646" t="s">
        <v>743</v>
      </c>
      <c r="B1" s="1646"/>
      <c r="C1" s="1646"/>
      <c r="D1" s="1646"/>
      <c r="E1" s="1646"/>
      <c r="F1" s="1646"/>
      <c r="G1" s="1646"/>
      <c r="H1" s="1646"/>
      <c r="I1" s="1646"/>
      <c r="J1" s="1646"/>
      <c r="K1" s="1646"/>
      <c r="L1" s="1646"/>
      <c r="M1" s="1646"/>
      <c r="N1" s="1646"/>
      <c r="O1" s="1646"/>
      <c r="P1" s="1646"/>
      <c r="Q1" s="1646"/>
      <c r="R1" s="1646"/>
      <c r="S1" s="1646"/>
      <c r="T1" s="1646"/>
      <c r="U1" s="1646"/>
      <c r="V1" s="1646"/>
      <c r="W1" s="1646"/>
      <c r="X1" s="1646"/>
      <c r="Y1" s="1646"/>
      <c r="Z1" s="1646"/>
      <c r="AA1" s="1646"/>
      <c r="AB1" s="1646"/>
      <c r="AC1" s="1646"/>
      <c r="AD1" s="1646"/>
      <c r="AE1" s="1646"/>
      <c r="AF1" s="1646"/>
      <c r="AG1" s="1646"/>
      <c r="AH1" s="1646"/>
      <c r="AI1" s="1646"/>
      <c r="AJ1" s="1646"/>
      <c r="AK1" s="1646"/>
      <c r="AL1" s="1646"/>
      <c r="AM1" s="1646"/>
      <c r="AN1" s="1646"/>
      <c r="AO1" s="1646"/>
      <c r="AP1" s="1646"/>
      <c r="AQ1" s="1646"/>
      <c r="AR1" s="1646"/>
      <c r="AS1" s="1646"/>
      <c r="AT1" s="1646"/>
      <c r="AU1" s="1646"/>
      <c r="AV1" s="1646"/>
      <c r="AW1" s="1646"/>
      <c r="AX1" s="1646"/>
      <c r="AY1" s="1646"/>
      <c r="AZ1" s="1646"/>
      <c r="BA1" s="1646"/>
      <c r="BB1" s="1646"/>
      <c r="BC1" s="1646"/>
      <c r="BD1" s="1646"/>
      <c r="BE1" s="1646"/>
      <c r="BF1" s="1646"/>
      <c r="BG1" s="1646"/>
      <c r="BH1" s="1646"/>
      <c r="BI1" s="1646"/>
      <c r="BJ1" s="1646"/>
      <c r="BK1" s="1646"/>
      <c r="BL1" s="1646"/>
      <c r="BM1" s="1646"/>
      <c r="BN1" s="1646"/>
      <c r="BO1" s="1646"/>
      <c r="BP1" s="1646"/>
      <c r="BQ1" s="1646"/>
      <c r="BR1" s="1646"/>
      <c r="BS1" s="1646"/>
      <c r="BT1" s="1646"/>
    </row>
    <row r="2" spans="1:72" x14ac:dyDescent="0.25">
      <c r="A2" s="1647" t="s">
        <v>744</v>
      </c>
      <c r="B2" s="1647"/>
      <c r="C2" s="1647"/>
      <c r="D2" s="1647"/>
      <c r="E2" s="1647"/>
      <c r="F2" s="1647"/>
      <c r="G2" s="1647"/>
      <c r="H2" s="1647"/>
      <c r="I2" s="1647"/>
      <c r="J2" s="1647"/>
      <c r="K2" s="1647"/>
      <c r="L2" s="1647"/>
      <c r="M2" s="1647"/>
      <c r="N2" s="1647"/>
      <c r="O2" s="1647"/>
      <c r="P2" s="1647"/>
      <c r="Q2" s="1647"/>
      <c r="R2" s="1647"/>
      <c r="S2" s="1647"/>
      <c r="T2" s="1647"/>
      <c r="U2" s="1647"/>
      <c r="V2" s="1647"/>
      <c r="W2" s="1647"/>
      <c r="X2" s="1647"/>
      <c r="Y2" s="1647"/>
      <c r="Z2" s="1647"/>
      <c r="AA2" s="1647"/>
      <c r="AB2" s="1647"/>
      <c r="AC2" s="1647"/>
      <c r="AD2" s="1647"/>
      <c r="AE2" s="1647"/>
      <c r="AF2" s="1647"/>
      <c r="AG2" s="1647"/>
      <c r="AH2" s="1647"/>
      <c r="AI2" s="1647"/>
      <c r="AJ2" s="1647"/>
      <c r="AK2" s="1647"/>
      <c r="AL2" s="1647"/>
      <c r="AM2" s="1647"/>
      <c r="AN2" s="1647"/>
      <c r="AO2" s="1647"/>
      <c r="AP2" s="1647"/>
      <c r="AQ2" s="1647"/>
      <c r="AR2" s="1647"/>
      <c r="AS2" s="1647"/>
      <c r="AT2" s="1647"/>
      <c r="AU2" s="1647"/>
      <c r="AV2" s="1647"/>
      <c r="AW2" s="1647"/>
      <c r="AX2" s="1647"/>
      <c r="AY2" s="1647"/>
      <c r="AZ2" s="1647"/>
      <c r="BA2" s="1647"/>
      <c r="BB2" s="1647"/>
      <c r="BC2" s="1647"/>
      <c r="BD2" s="1647"/>
      <c r="BE2" s="1647"/>
      <c r="BF2" s="1647"/>
      <c r="BG2" s="1647"/>
      <c r="BH2" s="1647"/>
      <c r="BI2" s="1647"/>
      <c r="BJ2" s="1647"/>
      <c r="BK2" s="1647"/>
      <c r="BL2" s="1647"/>
      <c r="BM2" s="1647"/>
      <c r="BN2" s="1647"/>
      <c r="BO2" s="1647"/>
      <c r="BP2" s="1647"/>
      <c r="BQ2" s="1647"/>
      <c r="BR2" s="1647"/>
      <c r="BS2" s="1647"/>
      <c r="BT2" s="1647"/>
    </row>
    <row r="3" spans="1:72" ht="13" thickBot="1" x14ac:dyDescent="0.3">
      <c r="A3" s="1648"/>
      <c r="B3" s="1648"/>
      <c r="C3" s="1648"/>
      <c r="D3" s="1648"/>
      <c r="E3" s="1648"/>
      <c r="F3" s="1648"/>
      <c r="G3" s="1648"/>
      <c r="H3" s="1648"/>
      <c r="I3" s="1648"/>
      <c r="J3" s="1648"/>
      <c r="K3" s="1648"/>
      <c r="L3" s="1648"/>
      <c r="M3" s="1648"/>
      <c r="N3" s="1648"/>
      <c r="O3" s="1648"/>
      <c r="P3" s="1648"/>
      <c r="Q3" s="1648"/>
      <c r="R3" s="1648"/>
      <c r="S3" s="1648"/>
      <c r="T3" s="1648"/>
      <c r="U3" s="1648"/>
      <c r="V3" s="1648"/>
      <c r="W3" s="1648"/>
      <c r="X3" s="1648"/>
      <c r="Y3" s="1648"/>
      <c r="Z3" s="1648"/>
      <c r="AA3" s="1648"/>
      <c r="AB3" s="1648"/>
      <c r="AC3" s="1648"/>
      <c r="AD3" s="1648"/>
      <c r="AE3" s="1648"/>
      <c r="AF3" s="1648"/>
      <c r="AG3" s="1648"/>
      <c r="AH3" s="1648"/>
      <c r="AI3" s="1648"/>
      <c r="AJ3" s="1648"/>
      <c r="AK3" s="1648"/>
      <c r="AL3" s="1648"/>
      <c r="AM3" s="1648"/>
      <c r="AN3" s="1648"/>
      <c r="AO3" s="1648"/>
      <c r="AP3" s="1648"/>
      <c r="AQ3" s="1648"/>
      <c r="AR3" s="1648"/>
      <c r="AS3" s="1648"/>
      <c r="AT3" s="1648"/>
      <c r="AU3" s="1648"/>
      <c r="AV3" s="1648"/>
      <c r="AW3" s="1648"/>
      <c r="AX3" s="1648"/>
      <c r="AY3" s="1648"/>
      <c r="AZ3" s="1648"/>
      <c r="BA3" s="1648"/>
      <c r="BB3" s="1648"/>
      <c r="BC3" s="1648"/>
      <c r="BD3" s="1648"/>
      <c r="BE3" s="1648"/>
      <c r="BF3" s="1648"/>
      <c r="BG3" s="1648"/>
      <c r="BH3" s="1648"/>
      <c r="BI3" s="1648"/>
      <c r="BJ3" s="1648"/>
      <c r="BK3" s="1648"/>
      <c r="BL3" s="1648"/>
      <c r="BM3" s="1648"/>
      <c r="BN3" s="1648"/>
      <c r="BO3" s="1648"/>
      <c r="BP3" s="1648"/>
      <c r="BQ3" s="1648"/>
      <c r="BR3" s="1648"/>
      <c r="BS3" s="1648"/>
      <c r="BT3" s="1648"/>
    </row>
    <row r="4" spans="1:72" x14ac:dyDescent="0.25">
      <c r="A4" s="915"/>
      <c r="B4" s="916" t="s">
        <v>1049</v>
      </c>
      <c r="C4" s="917">
        <v>2001</v>
      </c>
      <c r="D4" s="917">
        <v>2002</v>
      </c>
      <c r="E4" s="917">
        <v>2003</v>
      </c>
      <c r="F4" s="917">
        <v>2004</v>
      </c>
      <c r="G4" s="917">
        <v>2005</v>
      </c>
      <c r="H4" s="917">
        <v>2006</v>
      </c>
      <c r="I4" s="917">
        <v>2007</v>
      </c>
      <c r="J4" s="917">
        <v>2008</v>
      </c>
      <c r="K4" s="917">
        <v>2009</v>
      </c>
      <c r="L4" s="917">
        <v>2010</v>
      </c>
      <c r="M4" s="917">
        <v>2011</v>
      </c>
      <c r="N4" s="917">
        <v>2012</v>
      </c>
      <c r="O4" s="917">
        <v>2013</v>
      </c>
      <c r="P4" s="917">
        <v>2014</v>
      </c>
      <c r="Q4" s="917">
        <v>2015</v>
      </c>
      <c r="R4" s="917">
        <v>2016</v>
      </c>
      <c r="S4" s="917">
        <v>2017</v>
      </c>
      <c r="T4" s="917">
        <v>2018</v>
      </c>
      <c r="U4" s="917">
        <v>2019</v>
      </c>
      <c r="V4" s="917">
        <v>2020</v>
      </c>
      <c r="W4" s="917">
        <v>2021</v>
      </c>
      <c r="X4" s="917">
        <v>2022</v>
      </c>
      <c r="Y4" s="917">
        <v>2023</v>
      </c>
      <c r="Z4" s="917">
        <v>2024</v>
      </c>
      <c r="AA4" s="917">
        <v>2025</v>
      </c>
      <c r="AB4" s="917">
        <v>2026</v>
      </c>
      <c r="AC4" s="917">
        <v>2027</v>
      </c>
      <c r="AD4" s="917">
        <v>2028</v>
      </c>
      <c r="AE4" s="917">
        <v>2029</v>
      </c>
      <c r="AF4" s="917">
        <v>2030</v>
      </c>
      <c r="AG4" s="917">
        <v>2031</v>
      </c>
      <c r="AH4" s="917">
        <v>2032</v>
      </c>
      <c r="AI4" s="917">
        <v>2033</v>
      </c>
      <c r="AJ4" s="917">
        <v>2034</v>
      </c>
      <c r="AK4" s="917">
        <v>2035</v>
      </c>
      <c r="AL4" s="917">
        <v>2036</v>
      </c>
      <c r="AM4" s="917">
        <v>2037</v>
      </c>
      <c r="AN4" s="917">
        <v>2038</v>
      </c>
      <c r="AO4" s="917">
        <v>2039</v>
      </c>
      <c r="AP4" s="917">
        <v>2040</v>
      </c>
      <c r="AQ4" s="917">
        <v>2041</v>
      </c>
      <c r="AR4" s="917">
        <v>2042</v>
      </c>
      <c r="AS4" s="917">
        <v>2043</v>
      </c>
      <c r="AT4" s="917">
        <v>2044</v>
      </c>
      <c r="AU4" s="917">
        <v>2045</v>
      </c>
      <c r="AV4" s="917">
        <v>2046</v>
      </c>
      <c r="AW4" s="917">
        <v>2047</v>
      </c>
      <c r="AX4" s="917">
        <v>2048</v>
      </c>
      <c r="AY4" s="917">
        <v>2049</v>
      </c>
      <c r="AZ4" s="917">
        <v>2050</v>
      </c>
      <c r="BA4" s="917">
        <v>2051</v>
      </c>
      <c r="BB4" s="917">
        <v>2052</v>
      </c>
      <c r="BC4" s="917">
        <v>2053</v>
      </c>
      <c r="BD4" s="917">
        <v>2054</v>
      </c>
      <c r="BE4" s="917">
        <v>2056</v>
      </c>
      <c r="BF4" s="917">
        <v>2056</v>
      </c>
      <c r="BG4" s="917">
        <v>2057</v>
      </c>
      <c r="BH4" s="917">
        <v>2058</v>
      </c>
      <c r="BI4" s="917">
        <v>2059</v>
      </c>
      <c r="BJ4" s="917">
        <v>2060</v>
      </c>
      <c r="BK4" s="917">
        <v>2061</v>
      </c>
      <c r="BL4" s="917">
        <v>2062</v>
      </c>
      <c r="BM4" s="917">
        <v>2063</v>
      </c>
      <c r="BN4" s="917">
        <v>2064</v>
      </c>
      <c r="BO4" s="917">
        <v>2065</v>
      </c>
      <c r="BP4" s="917">
        <v>2066</v>
      </c>
      <c r="BQ4" s="917">
        <v>2067</v>
      </c>
      <c r="BR4" s="917">
        <v>2068</v>
      </c>
      <c r="BS4" s="917">
        <v>2069</v>
      </c>
      <c r="BT4" s="918">
        <v>2070</v>
      </c>
    </row>
    <row r="5" spans="1:72" x14ac:dyDescent="0.25">
      <c r="A5" s="1649" t="s">
        <v>745</v>
      </c>
      <c r="B5" s="1650"/>
      <c r="C5" s="1650"/>
      <c r="D5" s="1650"/>
      <c r="E5" s="1650"/>
      <c r="F5" s="1650"/>
      <c r="G5" s="1650"/>
      <c r="H5" s="1650"/>
      <c r="I5" s="1650"/>
      <c r="J5" s="1650"/>
      <c r="K5" s="1650"/>
      <c r="L5" s="1650"/>
      <c r="M5" s="1650"/>
      <c r="N5" s="1650"/>
      <c r="O5" s="1650"/>
      <c r="P5" s="1650"/>
      <c r="Q5" s="1650"/>
      <c r="R5" s="1650"/>
      <c r="S5" s="1650"/>
      <c r="T5" s="1650"/>
      <c r="U5" s="1650"/>
      <c r="V5" s="1650"/>
      <c r="W5" s="1650"/>
      <c r="X5" s="1650"/>
      <c r="Y5" s="1650"/>
      <c r="Z5" s="1650"/>
      <c r="AA5" s="1650"/>
      <c r="AB5" s="1650"/>
      <c r="AC5" s="1650"/>
      <c r="AD5" s="1650"/>
      <c r="AE5" s="1650"/>
      <c r="AF5" s="1650"/>
      <c r="AG5" s="1650"/>
      <c r="AH5" s="1650"/>
      <c r="AI5" s="1650"/>
      <c r="AJ5" s="1650"/>
      <c r="AK5" s="1650"/>
      <c r="AL5" s="1650"/>
      <c r="AM5" s="1650"/>
      <c r="AN5" s="1650"/>
      <c r="AO5" s="1650"/>
      <c r="AP5" s="1650"/>
      <c r="AQ5" s="1650"/>
      <c r="AR5" s="1650"/>
      <c r="AS5" s="1650"/>
      <c r="AT5" s="1650"/>
      <c r="AU5" s="1650"/>
      <c r="AV5" s="1650"/>
      <c r="AW5" s="1650"/>
      <c r="AX5" s="1650"/>
      <c r="AY5" s="1650"/>
      <c r="AZ5" s="1650"/>
      <c r="BA5" s="1650"/>
      <c r="BB5" s="1650"/>
      <c r="BC5" s="1650"/>
      <c r="BD5" s="1650"/>
      <c r="BE5" s="1650"/>
      <c r="BF5" s="1650"/>
      <c r="BG5" s="1650"/>
      <c r="BH5" s="1650"/>
      <c r="BI5" s="1650"/>
      <c r="BJ5" s="1650"/>
      <c r="BK5" s="1650"/>
      <c r="BL5" s="1650"/>
      <c r="BM5" s="1650"/>
      <c r="BN5" s="1650"/>
      <c r="BO5" s="1650"/>
      <c r="BP5" s="1650"/>
      <c r="BQ5" s="1650"/>
      <c r="BR5" s="1650"/>
      <c r="BS5" s="1650"/>
      <c r="BT5" s="1651"/>
    </row>
    <row r="6" spans="1:72" x14ac:dyDescent="0.25">
      <c r="A6" s="919" t="s">
        <v>746</v>
      </c>
      <c r="B6" s="920" t="s">
        <v>747</v>
      </c>
      <c r="C6" s="921">
        <v>8.9541000728991982</v>
      </c>
      <c r="D6" s="921">
        <v>6.8979457774252282</v>
      </c>
      <c r="E6" s="921">
        <v>8.4197996967243682</v>
      </c>
      <c r="F6" s="921">
        <v>8.8059982398770913</v>
      </c>
      <c r="G6" s="921">
        <v>8.8656468751295598</v>
      </c>
      <c r="H6" s="921">
        <v>8.2234977371287847</v>
      </c>
      <c r="I6" s="921">
        <v>7.8073426530046319</v>
      </c>
      <c r="J6" s="921">
        <v>7.4325694992857168</v>
      </c>
      <c r="K6" s="921">
        <v>7.297531685739191</v>
      </c>
      <c r="L6" s="921">
        <v>7.1966502441550162</v>
      </c>
      <c r="M6" s="921">
        <v>7.2405429268783017</v>
      </c>
      <c r="N6" s="921">
        <v>7.2944294079294778</v>
      </c>
      <c r="O6" s="921">
        <v>7.4037989917791105</v>
      </c>
      <c r="P6" s="921">
        <v>7.5440859727139706</v>
      </c>
      <c r="Q6" s="921">
        <v>7.6385998163583153</v>
      </c>
      <c r="R6" s="921">
        <v>7.6698249061152577</v>
      </c>
      <c r="S6" s="921">
        <v>7.596507558282819</v>
      </c>
      <c r="T6" s="921">
        <v>7.644327174942454</v>
      </c>
      <c r="U6" s="921">
        <v>7.7875295315148705</v>
      </c>
      <c r="V6" s="921">
        <v>8.0180296178133954</v>
      </c>
      <c r="W6" s="921">
        <v>8.1425457338117244</v>
      </c>
      <c r="X6" s="921">
        <v>8.1602542175436898</v>
      </c>
      <c r="Y6" s="921">
        <v>8.1927349319997838</v>
      </c>
      <c r="Z6" s="921">
        <v>8.2544961582939571</v>
      </c>
      <c r="AA6" s="921">
        <v>8.3511330316651513</v>
      </c>
      <c r="AB6" s="922">
        <v>8.4290329061652454</v>
      </c>
      <c r="AC6" s="922">
        <v>8.5069327806653394</v>
      </c>
      <c r="AD6" s="922">
        <v>8.5848326551654335</v>
      </c>
      <c r="AE6" s="922">
        <v>8.6627325296655275</v>
      </c>
      <c r="AF6" s="922">
        <v>8.7406324041656216</v>
      </c>
      <c r="AG6" s="922">
        <v>8.8185322786657157</v>
      </c>
      <c r="AH6" s="922">
        <v>8.8964321531658097</v>
      </c>
      <c r="AI6" s="922">
        <v>8.9743320276659038</v>
      </c>
      <c r="AJ6" s="922">
        <v>9.0522319021659978</v>
      </c>
      <c r="AK6" s="922">
        <v>9.1301317766660848</v>
      </c>
      <c r="AL6" s="922">
        <v>9.2578200706648097</v>
      </c>
      <c r="AM6" s="922">
        <v>9.3855083646635347</v>
      </c>
      <c r="AN6" s="922">
        <v>9.5131966586622596</v>
      </c>
      <c r="AO6" s="922">
        <v>9.6408849526609846</v>
      </c>
      <c r="AP6" s="922">
        <v>9.7685732466597095</v>
      </c>
      <c r="AQ6" s="922">
        <v>9.8962615406584344</v>
      </c>
      <c r="AR6" s="922">
        <v>10.023949834657159</v>
      </c>
      <c r="AS6" s="922">
        <v>10.151638128655884</v>
      </c>
      <c r="AT6" s="922">
        <v>10.279326422654609</v>
      </c>
      <c r="AU6" s="922">
        <v>10.407014716653334</v>
      </c>
      <c r="AV6" s="922">
        <v>10.534703010652059</v>
      </c>
      <c r="AW6" s="922">
        <v>10.662391304650784</v>
      </c>
      <c r="AX6" s="922">
        <v>10.790079598649509</v>
      </c>
      <c r="AY6" s="922">
        <v>10.917767892648234</v>
      </c>
      <c r="AZ6" s="923">
        <v>11.045456186646948</v>
      </c>
      <c r="BA6" s="922">
        <v>11.066404719719236</v>
      </c>
      <c r="BB6" s="922">
        <v>11.087353252791523</v>
      </c>
      <c r="BC6" s="922">
        <v>11.10830178586381</v>
      </c>
      <c r="BD6" s="922">
        <v>11.129250318936098</v>
      </c>
      <c r="BE6" s="922">
        <v>11.150198852008385</v>
      </c>
      <c r="BF6" s="922">
        <v>11.171147385080673</v>
      </c>
      <c r="BG6" s="922">
        <v>11.19209591815296</v>
      </c>
      <c r="BH6" s="922">
        <v>11.213044451225247</v>
      </c>
      <c r="BI6" s="922">
        <v>11.233992984297535</v>
      </c>
      <c r="BJ6" s="922">
        <v>11.254941517369822</v>
      </c>
      <c r="BK6" s="922">
        <v>11.27589005044211</v>
      </c>
      <c r="BL6" s="922">
        <v>11.296838583514397</v>
      </c>
      <c r="BM6" s="922">
        <v>11.317787116586684</v>
      </c>
      <c r="BN6" s="922">
        <v>11.338735649658972</v>
      </c>
      <c r="BO6" s="923">
        <v>11.359684182731248</v>
      </c>
      <c r="BP6" s="922">
        <v>11.381228672680008</v>
      </c>
      <c r="BQ6" s="922">
        <v>11.402773162628767</v>
      </c>
      <c r="BR6" s="922">
        <v>11.424317652577527</v>
      </c>
      <c r="BS6" s="922">
        <v>11.445862142526286</v>
      </c>
      <c r="BT6" s="924">
        <v>11.467406632475045</v>
      </c>
    </row>
    <row r="7" spans="1:72" x14ac:dyDescent="0.25">
      <c r="A7" s="925" t="s">
        <v>748</v>
      </c>
      <c r="B7" s="920" t="s">
        <v>747</v>
      </c>
      <c r="C7" s="921">
        <v>5.2088497969877503</v>
      </c>
      <c r="D7" s="921">
        <v>4.0515519538015683</v>
      </c>
      <c r="E7" s="921">
        <v>5.7953765594734321</v>
      </c>
      <c r="F7" s="921">
        <v>6.3059286733843276</v>
      </c>
      <c r="G7" s="921">
        <v>6.3351569917966728</v>
      </c>
      <c r="H7" s="921">
        <v>5.6603640970194089</v>
      </c>
      <c r="I7" s="921">
        <v>5.2154936812958672</v>
      </c>
      <c r="J7" s="921">
        <v>4.824472465605103</v>
      </c>
      <c r="K7" s="921">
        <v>4.7214620293311338</v>
      </c>
      <c r="L7" s="921">
        <v>4.5987567766657387</v>
      </c>
      <c r="M7" s="921">
        <v>4.6224680014376371</v>
      </c>
      <c r="N7" s="921">
        <v>4.6768878495918127</v>
      </c>
      <c r="O7" s="921">
        <v>4.7861952984108127</v>
      </c>
      <c r="P7" s="921">
        <v>4.922351045428587</v>
      </c>
      <c r="Q7" s="921">
        <v>5.0173813554475863</v>
      </c>
      <c r="R7" s="921">
        <v>5.0686005039035118</v>
      </c>
      <c r="S7" s="921">
        <v>5.0229759936062797</v>
      </c>
      <c r="T7" s="921">
        <v>5.0914502886106439</v>
      </c>
      <c r="U7" s="921">
        <v>5.2365480121576597</v>
      </c>
      <c r="V7" s="921">
        <v>5.4816269649649545</v>
      </c>
      <c r="W7" s="921">
        <v>5.5841408180740668</v>
      </c>
      <c r="X7" s="921">
        <v>5.5850370537559959</v>
      </c>
      <c r="Y7" s="921">
        <v>5.6052826350589937</v>
      </c>
      <c r="Z7" s="921">
        <v>5.6612136071582997</v>
      </c>
      <c r="AA7" s="921">
        <v>5.7676752715740598</v>
      </c>
      <c r="AB7" s="922">
        <v>5.8539244792759346</v>
      </c>
      <c r="AC7" s="922">
        <v>5.9401736869778095</v>
      </c>
      <c r="AD7" s="922">
        <v>6.0264228946796843</v>
      </c>
      <c r="AE7" s="922">
        <v>6.1126721023815591</v>
      </c>
      <c r="AF7" s="922">
        <v>6.1989213100834339</v>
      </c>
      <c r="AG7" s="922">
        <v>6.2851705177853088</v>
      </c>
      <c r="AH7" s="922">
        <v>6.3714197254871836</v>
      </c>
      <c r="AI7" s="922">
        <v>6.4576689331890584</v>
      </c>
      <c r="AJ7" s="922">
        <v>6.5439181408909333</v>
      </c>
      <c r="AK7" s="922">
        <v>6.6301673485928063</v>
      </c>
      <c r="AL7" s="922">
        <v>6.7228927087931387</v>
      </c>
      <c r="AM7" s="922">
        <v>6.8156180689934711</v>
      </c>
      <c r="AN7" s="922">
        <v>6.9083434291938035</v>
      </c>
      <c r="AO7" s="922">
        <v>7.0010687893941359</v>
      </c>
      <c r="AP7" s="922">
        <v>7.0937941495944683</v>
      </c>
      <c r="AQ7" s="922">
        <v>7.1865195097948007</v>
      </c>
      <c r="AR7" s="922">
        <v>7.2792448699951331</v>
      </c>
      <c r="AS7" s="922">
        <v>7.3719702301954655</v>
      </c>
      <c r="AT7" s="922">
        <v>7.4646955903957979</v>
      </c>
      <c r="AU7" s="922">
        <v>7.5574209505961303</v>
      </c>
      <c r="AV7" s="922">
        <v>7.6501463107964627</v>
      </c>
      <c r="AW7" s="922">
        <v>7.7428716709967951</v>
      </c>
      <c r="AX7" s="922">
        <v>7.8355970311971275</v>
      </c>
      <c r="AY7" s="922">
        <v>7.9283223913974599</v>
      </c>
      <c r="AZ7" s="923">
        <v>8.021047751597786</v>
      </c>
      <c r="BA7" s="922">
        <v>8.0362602680624171</v>
      </c>
      <c r="BB7" s="922">
        <v>8.0514727845270482</v>
      </c>
      <c r="BC7" s="922">
        <v>8.0666853009916792</v>
      </c>
      <c r="BD7" s="922">
        <v>8.0818978174563103</v>
      </c>
      <c r="BE7" s="922">
        <v>8.0971103339209414</v>
      </c>
      <c r="BF7" s="922">
        <v>8.1123228503855724</v>
      </c>
      <c r="BG7" s="922">
        <v>8.1275353668502035</v>
      </c>
      <c r="BH7" s="922">
        <v>8.1427478833148346</v>
      </c>
      <c r="BI7" s="922">
        <v>8.1579603997794656</v>
      </c>
      <c r="BJ7" s="922">
        <v>8.1731729162440967</v>
      </c>
      <c r="BK7" s="922">
        <v>8.1883854327087278</v>
      </c>
      <c r="BL7" s="922">
        <v>8.2035979491733588</v>
      </c>
      <c r="BM7" s="922">
        <v>8.2188104656379899</v>
      </c>
      <c r="BN7" s="922">
        <v>8.234022982102621</v>
      </c>
      <c r="BO7" s="923">
        <v>8.2492354985672645</v>
      </c>
      <c r="BP7" s="922">
        <v>8.2648807901462327</v>
      </c>
      <c r="BQ7" s="922">
        <v>8.2805260817252009</v>
      </c>
      <c r="BR7" s="922">
        <v>8.2961713733041691</v>
      </c>
      <c r="BS7" s="922">
        <v>8.3118166648831373</v>
      </c>
      <c r="BT7" s="924">
        <v>8.3274619564621091</v>
      </c>
    </row>
    <row r="8" spans="1:72" x14ac:dyDescent="0.25">
      <c r="A8" s="925" t="s">
        <v>749</v>
      </c>
      <c r="B8" s="920" t="s">
        <v>747</v>
      </c>
      <c r="C8" s="921">
        <v>5.6269638934579786</v>
      </c>
      <c r="D8" s="921">
        <v>3.8422456293735823</v>
      </c>
      <c r="E8" s="921">
        <v>5.691139826234779</v>
      </c>
      <c r="F8" s="921">
        <v>6.2376343214286925</v>
      </c>
      <c r="G8" s="921">
        <v>6.1731978092553481</v>
      </c>
      <c r="H8" s="921">
        <v>5.4998161252939477</v>
      </c>
      <c r="I8" s="921">
        <v>5.0667498741509744</v>
      </c>
      <c r="J8" s="921">
        <v>4.6999946247856554</v>
      </c>
      <c r="K8" s="921">
        <v>4.5877827360944901</v>
      </c>
      <c r="L8" s="921">
        <v>4.4974766767249967</v>
      </c>
      <c r="M8" s="921">
        <v>4.5471429464952013</v>
      </c>
      <c r="N8" s="921">
        <v>4.6470168064225401</v>
      </c>
      <c r="O8" s="921">
        <v>4.7885290901615907</v>
      </c>
      <c r="P8" s="921">
        <v>4.9298490038457894</v>
      </c>
      <c r="Q8" s="921">
        <v>5.0143193411377212</v>
      </c>
      <c r="R8" s="921">
        <v>5.0431599369588911</v>
      </c>
      <c r="S8" s="921">
        <v>4.9958503246307417</v>
      </c>
      <c r="T8" s="921">
        <v>5.071809156885692</v>
      </c>
      <c r="U8" s="921">
        <v>5.2209958625289659</v>
      </c>
      <c r="V8" s="921">
        <v>5.4542850660827948</v>
      </c>
      <c r="W8" s="921">
        <v>5.5514960671370845</v>
      </c>
      <c r="X8" s="921">
        <v>5.5489887943807661</v>
      </c>
      <c r="Y8" s="921">
        <v>5.5622220646660265</v>
      </c>
      <c r="Z8" s="921">
        <v>5.6263508841676488</v>
      </c>
      <c r="AA8" s="921">
        <v>5.730461856104295</v>
      </c>
      <c r="AB8" s="922">
        <v>5.8123040182474703</v>
      </c>
      <c r="AC8" s="922">
        <v>5.8941461803906456</v>
      </c>
      <c r="AD8" s="922">
        <v>5.9759883425338209</v>
      </c>
      <c r="AE8" s="922">
        <v>6.0578305046769962</v>
      </c>
      <c r="AF8" s="922">
        <v>6.1396726668201715</v>
      </c>
      <c r="AG8" s="922">
        <v>6.2215148289633468</v>
      </c>
      <c r="AH8" s="922">
        <v>6.3033569911065221</v>
      </c>
      <c r="AI8" s="922">
        <v>6.3851991532496974</v>
      </c>
      <c r="AJ8" s="922">
        <v>6.4670413153928727</v>
      </c>
      <c r="AK8" s="922">
        <v>6.5488834775360516</v>
      </c>
      <c r="AL8" s="922">
        <v>6.6404720525202734</v>
      </c>
      <c r="AM8" s="922">
        <v>6.7320606275044952</v>
      </c>
      <c r="AN8" s="922">
        <v>6.823649202488717</v>
      </c>
      <c r="AO8" s="922">
        <v>6.9152377774729388</v>
      </c>
      <c r="AP8" s="922">
        <v>7.0068263524571606</v>
      </c>
      <c r="AQ8" s="922">
        <v>7.0984149274413824</v>
      </c>
      <c r="AR8" s="922">
        <v>7.1900035024256042</v>
      </c>
      <c r="AS8" s="922">
        <v>7.2815920774098259</v>
      </c>
      <c r="AT8" s="922">
        <v>7.3731806523940477</v>
      </c>
      <c r="AU8" s="922">
        <v>7.4647692273782695</v>
      </c>
      <c r="AV8" s="922">
        <v>7.5563578023624913</v>
      </c>
      <c r="AW8" s="922">
        <v>7.6479463773467131</v>
      </c>
      <c r="AX8" s="922">
        <v>7.7395349523309349</v>
      </c>
      <c r="AY8" s="922">
        <v>7.8311235273151567</v>
      </c>
      <c r="AZ8" s="923">
        <v>7.9227121022993829</v>
      </c>
      <c r="BA8" s="922">
        <v>7.9377381178566102</v>
      </c>
      <c r="BB8" s="922">
        <v>7.9527641334138375</v>
      </c>
      <c r="BC8" s="922">
        <v>7.9677901489710647</v>
      </c>
      <c r="BD8" s="922">
        <v>7.982816164528292</v>
      </c>
      <c r="BE8" s="922">
        <v>7.9978421800855193</v>
      </c>
      <c r="BF8" s="922">
        <v>8.0128681956427457</v>
      </c>
      <c r="BG8" s="922">
        <v>8.0278942111999729</v>
      </c>
      <c r="BH8" s="922">
        <v>8.0429202267572002</v>
      </c>
      <c r="BI8" s="922">
        <v>8.0579462423144275</v>
      </c>
      <c r="BJ8" s="922">
        <v>8.0729722578716547</v>
      </c>
      <c r="BK8" s="922">
        <v>8.087998273428882</v>
      </c>
      <c r="BL8" s="922">
        <v>8.1030242889861093</v>
      </c>
      <c r="BM8" s="922">
        <v>8.1180503045433365</v>
      </c>
      <c r="BN8" s="922">
        <v>8.1330763201005638</v>
      </c>
      <c r="BO8" s="923">
        <v>8.1481023356577857</v>
      </c>
      <c r="BP8" s="922">
        <v>8.1635558206357306</v>
      </c>
      <c r="BQ8" s="922">
        <v>8.1790093056136755</v>
      </c>
      <c r="BR8" s="922">
        <v>8.1944627905916203</v>
      </c>
      <c r="BS8" s="922">
        <v>8.2099162755695652</v>
      </c>
      <c r="BT8" s="924">
        <v>8.2253697605475136</v>
      </c>
    </row>
    <row r="9" spans="1:72" x14ac:dyDescent="0.25">
      <c r="A9" s="1649" t="s">
        <v>750</v>
      </c>
      <c r="B9" s="1650"/>
      <c r="C9" s="1650"/>
      <c r="D9" s="1650"/>
      <c r="E9" s="1650"/>
      <c r="F9" s="1650"/>
      <c r="G9" s="1650"/>
      <c r="H9" s="1650"/>
      <c r="I9" s="1650"/>
      <c r="J9" s="1650"/>
      <c r="K9" s="1650"/>
      <c r="L9" s="1650"/>
      <c r="M9" s="1650"/>
      <c r="N9" s="1650"/>
      <c r="O9" s="1650"/>
      <c r="P9" s="1650"/>
      <c r="Q9" s="1650"/>
      <c r="R9" s="1650"/>
      <c r="S9" s="1650"/>
      <c r="T9" s="1650"/>
      <c r="U9" s="1650"/>
      <c r="V9" s="1650"/>
      <c r="W9" s="1650"/>
      <c r="X9" s="1650"/>
      <c r="Y9" s="1650"/>
      <c r="Z9" s="1650"/>
      <c r="AA9" s="1650"/>
      <c r="AB9" s="1650"/>
      <c r="AC9" s="1650"/>
      <c r="AD9" s="1650"/>
      <c r="AE9" s="1650"/>
      <c r="AF9" s="1650"/>
      <c r="AG9" s="1650"/>
      <c r="AH9" s="1650"/>
      <c r="AI9" s="1650"/>
      <c r="AJ9" s="1650"/>
      <c r="AK9" s="1650"/>
      <c r="AL9" s="1650"/>
      <c r="AM9" s="1650"/>
      <c r="AN9" s="1650"/>
      <c r="AO9" s="1650"/>
      <c r="AP9" s="1650"/>
      <c r="AQ9" s="1650"/>
      <c r="AR9" s="1650"/>
      <c r="AS9" s="1650"/>
      <c r="AT9" s="1650"/>
      <c r="AU9" s="1650"/>
      <c r="AV9" s="1650"/>
      <c r="AW9" s="1650"/>
      <c r="AX9" s="1650"/>
      <c r="AY9" s="1650"/>
      <c r="AZ9" s="1650"/>
      <c r="BA9" s="1650"/>
      <c r="BB9" s="1650"/>
      <c r="BC9" s="1650"/>
      <c r="BD9" s="1650"/>
      <c r="BE9" s="1650"/>
      <c r="BF9" s="1650"/>
      <c r="BG9" s="1650"/>
      <c r="BH9" s="1650"/>
      <c r="BI9" s="1650"/>
      <c r="BJ9" s="1650"/>
      <c r="BK9" s="1650"/>
      <c r="BL9" s="1650"/>
      <c r="BM9" s="1650"/>
      <c r="BN9" s="1650"/>
      <c r="BO9" s="1650"/>
      <c r="BP9" s="1650"/>
      <c r="BQ9" s="1650"/>
      <c r="BR9" s="1650"/>
      <c r="BS9" s="1650"/>
      <c r="BT9" s="1651"/>
    </row>
    <row r="10" spans="1:72" x14ac:dyDescent="0.25">
      <c r="A10" s="925" t="s">
        <v>683</v>
      </c>
      <c r="B10" s="920" t="s">
        <v>747</v>
      </c>
      <c r="C10" s="921">
        <v>24.866788774356646</v>
      </c>
      <c r="D10" s="921">
        <v>24.345010037692106</v>
      </c>
      <c r="E10" s="921">
        <v>24.223933219909672</v>
      </c>
      <c r="F10" s="921">
        <v>24.020635352944481</v>
      </c>
      <c r="G10" s="921">
        <v>23.91295186528621</v>
      </c>
      <c r="H10" s="921">
        <v>22.837542614846832</v>
      </c>
      <c r="I10" s="921">
        <v>21.69091966017233</v>
      </c>
      <c r="J10" s="921">
        <v>21.090846376599046</v>
      </c>
      <c r="K10" s="921">
        <v>21.058556043876806</v>
      </c>
      <c r="L10" s="921">
        <v>20.987678365887316</v>
      </c>
      <c r="M10" s="921">
        <v>20.983490961902529</v>
      </c>
      <c r="N10" s="921">
        <v>21.313707333690761</v>
      </c>
      <c r="O10" s="921">
        <v>21.638938984780914</v>
      </c>
      <c r="P10" s="921">
        <v>22.13258341123478</v>
      </c>
      <c r="Q10" s="921">
        <v>22.313049388381657</v>
      </c>
      <c r="R10" s="921">
        <v>22.486876361774936</v>
      </c>
      <c r="S10" s="921">
        <v>22.494946956634521</v>
      </c>
      <c r="T10" s="921">
        <v>22.662665807975912</v>
      </c>
      <c r="U10" s="921">
        <v>22.922821701697636</v>
      </c>
      <c r="V10" s="921">
        <v>23.270139622238439</v>
      </c>
      <c r="W10" s="921">
        <v>23.509686568997985</v>
      </c>
      <c r="X10" s="921">
        <v>23.493712398241108</v>
      </c>
      <c r="Y10" s="921">
        <v>23.423848763951703</v>
      </c>
      <c r="Z10" s="921">
        <v>23.513217827059155</v>
      </c>
      <c r="AA10" s="921">
        <v>23.645542576627872</v>
      </c>
      <c r="AB10" s="922">
        <v>23.786749293232678</v>
      </c>
      <c r="AC10" s="922">
        <v>23.927956009837484</v>
      </c>
      <c r="AD10" s="922">
        <v>24.06916272644229</v>
      </c>
      <c r="AE10" s="922">
        <v>24.210369443047096</v>
      </c>
      <c r="AF10" s="922">
        <v>24.351576159651902</v>
      </c>
      <c r="AG10" s="922">
        <v>24.492782876256708</v>
      </c>
      <c r="AH10" s="922">
        <v>24.633989592861514</v>
      </c>
      <c r="AI10" s="922">
        <v>24.77519630946632</v>
      </c>
      <c r="AJ10" s="922">
        <v>24.916403026071126</v>
      </c>
      <c r="AK10" s="922">
        <v>25.057609742675933</v>
      </c>
      <c r="AL10" s="922">
        <v>25.047759076850095</v>
      </c>
      <c r="AM10" s="922">
        <v>25.037908411024258</v>
      </c>
      <c r="AN10" s="922">
        <v>25.028057745198421</v>
      </c>
      <c r="AO10" s="922">
        <v>25.018207079372583</v>
      </c>
      <c r="AP10" s="922">
        <v>25.008356413546746</v>
      </c>
      <c r="AQ10" s="922">
        <v>24.998505747720909</v>
      </c>
      <c r="AR10" s="922">
        <v>24.988655081895072</v>
      </c>
      <c r="AS10" s="922">
        <v>24.978804416069234</v>
      </c>
      <c r="AT10" s="922">
        <v>24.968953750243397</v>
      </c>
      <c r="AU10" s="922">
        <v>24.95910308441756</v>
      </c>
      <c r="AV10" s="922">
        <v>24.949252418591723</v>
      </c>
      <c r="AW10" s="922">
        <v>24.939401752765885</v>
      </c>
      <c r="AX10" s="922">
        <v>24.929551086940048</v>
      </c>
      <c r="AY10" s="922">
        <v>24.919700421114211</v>
      </c>
      <c r="AZ10" s="923">
        <v>24.90984975528837</v>
      </c>
      <c r="BA10" s="922">
        <v>24.925673674379027</v>
      </c>
      <c r="BB10" s="922">
        <v>24.941497593469684</v>
      </c>
      <c r="BC10" s="922">
        <v>24.957321512560341</v>
      </c>
      <c r="BD10" s="922">
        <v>24.973145431650998</v>
      </c>
      <c r="BE10" s="922">
        <v>24.988969350741655</v>
      </c>
      <c r="BF10" s="922">
        <v>25.004793269832312</v>
      </c>
      <c r="BG10" s="922">
        <v>25.020617188922969</v>
      </c>
      <c r="BH10" s="922">
        <v>25.036441108013626</v>
      </c>
      <c r="BI10" s="922">
        <v>25.052265027104283</v>
      </c>
      <c r="BJ10" s="922">
        <v>25.068088946194941</v>
      </c>
      <c r="BK10" s="922">
        <v>25.083912865285598</v>
      </c>
      <c r="BL10" s="922">
        <v>25.099736784376255</v>
      </c>
      <c r="BM10" s="922">
        <v>25.115560703466912</v>
      </c>
      <c r="BN10" s="922">
        <v>25.131384622557569</v>
      </c>
      <c r="BO10" s="923">
        <v>25.147208541648205</v>
      </c>
      <c r="BP10" s="922">
        <v>25.163183242307905</v>
      </c>
      <c r="BQ10" s="922">
        <v>25.179157942967606</v>
      </c>
      <c r="BR10" s="922">
        <v>25.195132643627307</v>
      </c>
      <c r="BS10" s="922">
        <v>25.211107344287008</v>
      </c>
      <c r="BT10" s="924">
        <v>25.227082044946716</v>
      </c>
    </row>
    <row r="11" spans="1:72" x14ac:dyDescent="0.25">
      <c r="A11" s="925" t="s">
        <v>698</v>
      </c>
      <c r="B11" s="920" t="s">
        <v>747</v>
      </c>
      <c r="C11" s="921">
        <v>16.038863482553147</v>
      </c>
      <c r="D11" s="921">
        <v>15.36037109932807</v>
      </c>
      <c r="E11" s="921">
        <v>15.664056310113844</v>
      </c>
      <c r="F11" s="921">
        <v>16.390134465019642</v>
      </c>
      <c r="G11" s="921">
        <v>16.26049394877451</v>
      </c>
      <c r="H11" s="921">
        <v>15.718549229064077</v>
      </c>
      <c r="I11" s="921">
        <v>15.083546116666987</v>
      </c>
      <c r="J11" s="921">
        <v>14.764544869368896</v>
      </c>
      <c r="K11" s="921">
        <v>14.679648534306921</v>
      </c>
      <c r="L11" s="921">
        <v>14.510741661179726</v>
      </c>
      <c r="M11" s="921">
        <v>14.370329416023063</v>
      </c>
      <c r="N11" s="921">
        <v>14.522587083420669</v>
      </c>
      <c r="O11" s="921">
        <v>14.791267903345901</v>
      </c>
      <c r="P11" s="921">
        <v>15.142176731577413</v>
      </c>
      <c r="Q11" s="921">
        <v>15.304996360023072</v>
      </c>
      <c r="R11" s="921">
        <v>15.443286072533045</v>
      </c>
      <c r="S11" s="921">
        <v>15.485992224711291</v>
      </c>
      <c r="T11" s="921">
        <v>15.663456831338236</v>
      </c>
      <c r="U11" s="921">
        <v>15.910829809476709</v>
      </c>
      <c r="V11" s="921">
        <v>16.241389166634008</v>
      </c>
      <c r="W11" s="921">
        <v>16.419768400912066</v>
      </c>
      <c r="X11" s="921">
        <v>16.405212897174714</v>
      </c>
      <c r="Y11" s="921">
        <v>16.372526888577397</v>
      </c>
      <c r="Z11" s="921">
        <v>16.449089176249931</v>
      </c>
      <c r="AA11" s="921">
        <v>16.568027554817903</v>
      </c>
      <c r="AB11" s="922">
        <v>16.704753726753587</v>
      </c>
      <c r="AC11" s="922">
        <v>16.841479898689272</v>
      </c>
      <c r="AD11" s="922">
        <v>16.978206070624957</v>
      </c>
      <c r="AE11" s="922">
        <v>17.114932242560641</v>
      </c>
      <c r="AF11" s="922">
        <v>17.251658414496326</v>
      </c>
      <c r="AG11" s="922">
        <v>17.388384586432011</v>
      </c>
      <c r="AH11" s="922">
        <v>17.525110758367695</v>
      </c>
      <c r="AI11" s="922">
        <v>17.66183693030338</v>
      </c>
      <c r="AJ11" s="922">
        <v>17.798563102239065</v>
      </c>
      <c r="AK11" s="922">
        <v>17.935289274174743</v>
      </c>
      <c r="AL11" s="922">
        <v>17.928238540168429</v>
      </c>
      <c r="AM11" s="922">
        <v>17.921187806162116</v>
      </c>
      <c r="AN11" s="922">
        <v>17.914137072155803</v>
      </c>
      <c r="AO11" s="922">
        <v>17.90708633814949</v>
      </c>
      <c r="AP11" s="922">
        <v>17.900035604143177</v>
      </c>
      <c r="AQ11" s="922">
        <v>17.892984870136864</v>
      </c>
      <c r="AR11" s="922">
        <v>17.885934136130551</v>
      </c>
      <c r="AS11" s="922">
        <v>17.878883402124238</v>
      </c>
      <c r="AT11" s="922">
        <v>17.871832668117925</v>
      </c>
      <c r="AU11" s="922">
        <v>17.864781934111612</v>
      </c>
      <c r="AV11" s="922">
        <v>17.857731200105299</v>
      </c>
      <c r="AW11" s="922">
        <v>17.850680466098986</v>
      </c>
      <c r="AX11" s="922">
        <v>17.843629732092673</v>
      </c>
      <c r="AY11" s="922">
        <v>17.83657899808636</v>
      </c>
      <c r="AZ11" s="923">
        <v>17.829528264080036</v>
      </c>
      <c r="BA11" s="922">
        <v>17.840854426840831</v>
      </c>
      <c r="BB11" s="922">
        <v>17.852180589601627</v>
      </c>
      <c r="BC11" s="922">
        <v>17.863506752362422</v>
      </c>
      <c r="BD11" s="922">
        <v>17.874832915123218</v>
      </c>
      <c r="BE11" s="922">
        <v>17.886159077884013</v>
      </c>
      <c r="BF11" s="922">
        <v>17.897485240644809</v>
      </c>
      <c r="BG11" s="922">
        <v>17.908811403405604</v>
      </c>
      <c r="BH11" s="922">
        <v>17.9201375661664</v>
      </c>
      <c r="BI11" s="922">
        <v>17.931463728927195</v>
      </c>
      <c r="BJ11" s="922">
        <v>17.94278989168799</v>
      </c>
      <c r="BK11" s="922">
        <v>17.954116054448786</v>
      </c>
      <c r="BL11" s="922">
        <v>17.965442217209581</v>
      </c>
      <c r="BM11" s="922">
        <v>17.976768379970377</v>
      </c>
      <c r="BN11" s="922">
        <v>17.988094542731172</v>
      </c>
      <c r="BO11" s="923">
        <v>17.999420705491971</v>
      </c>
      <c r="BP11" s="922">
        <v>18.010854791996724</v>
      </c>
      <c r="BQ11" s="922">
        <v>18.022288878501477</v>
      </c>
      <c r="BR11" s="922">
        <v>18.033722965006231</v>
      </c>
      <c r="BS11" s="922">
        <v>18.045157051510984</v>
      </c>
      <c r="BT11" s="924">
        <v>18.056591138015737</v>
      </c>
    </row>
    <row r="12" spans="1:72" x14ac:dyDescent="0.25">
      <c r="A12" s="926" t="s">
        <v>751</v>
      </c>
      <c r="B12" s="920"/>
      <c r="C12" s="920"/>
      <c r="D12" s="920"/>
      <c r="E12" s="920"/>
      <c r="F12" s="920"/>
      <c r="G12" s="920"/>
      <c r="H12" s="920"/>
      <c r="I12" s="920"/>
      <c r="J12" s="920"/>
      <c r="K12" s="920"/>
      <c r="L12" s="920"/>
      <c r="M12" s="920"/>
      <c r="N12" s="920"/>
      <c r="O12" s="920"/>
      <c r="P12" s="920"/>
      <c r="Q12" s="920"/>
      <c r="R12" s="920"/>
      <c r="S12" s="920"/>
      <c r="T12" s="920"/>
      <c r="U12" s="920"/>
      <c r="V12" s="920"/>
      <c r="W12" s="920"/>
      <c r="X12" s="920"/>
      <c r="Y12" s="920"/>
      <c r="Z12" s="920"/>
      <c r="AA12" s="920"/>
      <c r="AB12" s="920"/>
      <c r="AC12" s="920"/>
      <c r="AD12" s="920"/>
      <c r="AE12" s="920"/>
      <c r="AF12" s="920"/>
      <c r="AG12" s="920"/>
      <c r="AH12" s="920"/>
      <c r="AI12" s="920"/>
      <c r="AJ12" s="920"/>
      <c r="AK12" s="920"/>
      <c r="AL12" s="920"/>
      <c r="AM12" s="920"/>
      <c r="AN12" s="920"/>
      <c r="AO12" s="920"/>
      <c r="AP12" s="920"/>
      <c r="AQ12" s="920"/>
      <c r="AR12" s="920"/>
      <c r="AS12" s="920"/>
      <c r="AT12" s="920"/>
      <c r="AU12" s="920"/>
      <c r="AV12" s="920"/>
      <c r="AW12" s="920"/>
      <c r="AX12" s="920"/>
      <c r="AY12" s="920"/>
      <c r="AZ12" s="920"/>
      <c r="BA12" s="920"/>
      <c r="BB12" s="920"/>
      <c r="BC12" s="920"/>
      <c r="BD12" s="920"/>
      <c r="BE12" s="920"/>
      <c r="BF12" s="920"/>
      <c r="BG12" s="920"/>
      <c r="BH12" s="920"/>
      <c r="BI12" s="920"/>
      <c r="BJ12" s="920"/>
      <c r="BK12" s="920"/>
      <c r="BL12" s="920"/>
      <c r="BM12" s="920"/>
      <c r="BN12" s="920"/>
      <c r="BO12" s="920"/>
      <c r="BP12" s="920"/>
      <c r="BQ12" s="920"/>
      <c r="BR12" s="920"/>
      <c r="BS12" s="920"/>
      <c r="BT12" s="927"/>
    </row>
    <row r="13" spans="1:72" x14ac:dyDescent="0.25">
      <c r="A13" s="925" t="s">
        <v>1087</v>
      </c>
      <c r="B13" s="920" t="s">
        <v>747</v>
      </c>
      <c r="C13" s="921">
        <v>1.3268491834774256</v>
      </c>
      <c r="D13" s="921">
        <v>1.32388562245189</v>
      </c>
      <c r="E13" s="921">
        <v>1.3334961719108085</v>
      </c>
      <c r="F13" s="921">
        <v>1.3380821099821107</v>
      </c>
      <c r="G13" s="921">
        <v>1.3443425871291239</v>
      </c>
      <c r="H13" s="921">
        <v>1.3528785733681756</v>
      </c>
      <c r="I13" s="921">
        <v>1.3415886383011697</v>
      </c>
      <c r="J13" s="921">
        <v>1.3403624656065469</v>
      </c>
      <c r="K13" s="921">
        <v>1.330997225248586</v>
      </c>
      <c r="L13" s="921">
        <v>1.3164209684110997</v>
      </c>
      <c r="M13" s="921">
        <v>1.3072140481112184</v>
      </c>
      <c r="N13" s="921">
        <v>1.3019573002491378</v>
      </c>
      <c r="O13" s="921">
        <v>1.2978333982656636</v>
      </c>
      <c r="P13" s="921">
        <v>1.295833644439585</v>
      </c>
      <c r="Q13" s="921">
        <v>1.2953486183904279</v>
      </c>
      <c r="R13" s="921">
        <v>1.2970626753456174</v>
      </c>
      <c r="S13" s="921">
        <v>1.2955796364343368</v>
      </c>
      <c r="T13" s="921">
        <v>1.3002382724914889</v>
      </c>
      <c r="U13" s="921">
        <v>1.3044509032987155</v>
      </c>
      <c r="V13" s="921">
        <v>1.3304805103337984</v>
      </c>
      <c r="W13" s="921">
        <v>1.3397570218680066</v>
      </c>
      <c r="X13" s="921">
        <v>1.3519914094007222</v>
      </c>
      <c r="Y13" s="921">
        <v>1.3569265463442153</v>
      </c>
      <c r="Z13" s="921">
        <v>1.3726611244228613</v>
      </c>
      <c r="AA13" s="921">
        <v>1.3854931266802686</v>
      </c>
      <c r="AB13" s="922">
        <v>1.3951349014789893</v>
      </c>
      <c r="AC13" s="922">
        <v>1.4047766762777101</v>
      </c>
      <c r="AD13" s="922">
        <v>1.4144184510764308</v>
      </c>
      <c r="AE13" s="922">
        <v>1.4240602258751516</v>
      </c>
      <c r="AF13" s="922">
        <v>1.4337020006738723</v>
      </c>
      <c r="AG13" s="922">
        <v>1.4433437754725931</v>
      </c>
      <c r="AH13" s="922">
        <v>1.4529855502713138</v>
      </c>
      <c r="AI13" s="922">
        <v>1.4626273250700346</v>
      </c>
      <c r="AJ13" s="922">
        <v>1.4722690998687553</v>
      </c>
      <c r="AK13" s="922">
        <v>1.481910874667477</v>
      </c>
      <c r="AL13" s="922">
        <v>1.4862555877963981</v>
      </c>
      <c r="AM13" s="922">
        <v>1.4906003009253193</v>
      </c>
      <c r="AN13" s="922">
        <v>1.4949450140542404</v>
      </c>
      <c r="AO13" s="922">
        <v>1.4992897271831616</v>
      </c>
      <c r="AP13" s="922">
        <v>1.5036344403120827</v>
      </c>
      <c r="AQ13" s="922">
        <v>1.5079791534410039</v>
      </c>
      <c r="AR13" s="922">
        <v>1.512323866569925</v>
      </c>
      <c r="AS13" s="922">
        <v>1.5166685796988462</v>
      </c>
      <c r="AT13" s="922">
        <v>1.5210132928277673</v>
      </c>
      <c r="AU13" s="922">
        <v>1.5253580059566885</v>
      </c>
      <c r="AV13" s="922">
        <v>1.5297027190856096</v>
      </c>
      <c r="AW13" s="922">
        <v>1.5340474322145308</v>
      </c>
      <c r="AX13" s="922">
        <v>1.5383921453434519</v>
      </c>
      <c r="AY13" s="922">
        <v>1.5427368584723731</v>
      </c>
      <c r="AZ13" s="923">
        <v>1.5470815716012942</v>
      </c>
      <c r="BA13" s="922">
        <v>1.5500157274134729</v>
      </c>
      <c r="BB13" s="922">
        <v>1.5529498832256516</v>
      </c>
      <c r="BC13" s="922">
        <v>1.5558840390378303</v>
      </c>
      <c r="BD13" s="922">
        <v>1.5588181948500091</v>
      </c>
      <c r="BE13" s="922">
        <v>1.5617523506621878</v>
      </c>
      <c r="BF13" s="922">
        <v>1.5646865064743665</v>
      </c>
      <c r="BG13" s="922">
        <v>1.5676206622865452</v>
      </c>
      <c r="BH13" s="922">
        <v>1.5705548180987239</v>
      </c>
      <c r="BI13" s="922">
        <v>1.5734889739109026</v>
      </c>
      <c r="BJ13" s="922">
        <v>1.5764231297230813</v>
      </c>
      <c r="BK13" s="922">
        <v>1.57935728553526</v>
      </c>
      <c r="BL13" s="922">
        <v>1.5822914413474387</v>
      </c>
      <c r="BM13" s="922">
        <v>1.5852255971596174</v>
      </c>
      <c r="BN13" s="922">
        <v>1.5881597529717961</v>
      </c>
      <c r="BO13" s="923">
        <v>1.5910939087839742</v>
      </c>
      <c r="BP13" s="922">
        <v>1.5941115372826113</v>
      </c>
      <c r="BQ13" s="922">
        <v>1.5971291657812485</v>
      </c>
      <c r="BR13" s="922">
        <v>1.6001467942798857</v>
      </c>
      <c r="BS13" s="922">
        <v>1.6031644227785229</v>
      </c>
      <c r="BT13" s="924">
        <v>1.6061820512771605</v>
      </c>
    </row>
    <row r="14" spans="1:72" x14ac:dyDescent="0.25">
      <c r="A14" s="1649" t="s">
        <v>752</v>
      </c>
      <c r="B14" s="1650"/>
      <c r="C14" s="1650"/>
      <c r="D14" s="1650"/>
      <c r="E14" s="1650"/>
      <c r="F14" s="1650"/>
      <c r="G14" s="1650"/>
      <c r="H14" s="1650"/>
      <c r="I14" s="1650"/>
      <c r="J14" s="1650"/>
      <c r="K14" s="1650"/>
      <c r="L14" s="1650"/>
      <c r="M14" s="1650"/>
      <c r="N14" s="1650"/>
      <c r="O14" s="1650"/>
      <c r="P14" s="1650"/>
      <c r="Q14" s="1650"/>
      <c r="R14" s="1650"/>
      <c r="S14" s="1650"/>
      <c r="T14" s="1650"/>
      <c r="U14" s="1650"/>
      <c r="V14" s="1650"/>
      <c r="W14" s="1650"/>
      <c r="X14" s="1650"/>
      <c r="Y14" s="1650"/>
      <c r="Z14" s="1650"/>
      <c r="AA14" s="1650"/>
      <c r="AB14" s="1650"/>
      <c r="AC14" s="1650"/>
      <c r="AD14" s="1650"/>
      <c r="AE14" s="1650"/>
      <c r="AF14" s="1650"/>
      <c r="AG14" s="1650"/>
      <c r="AH14" s="1650"/>
      <c r="AI14" s="1650"/>
      <c r="AJ14" s="1650"/>
      <c r="AK14" s="1650"/>
      <c r="AL14" s="1650"/>
      <c r="AM14" s="1650"/>
      <c r="AN14" s="1650"/>
      <c r="AO14" s="1650"/>
      <c r="AP14" s="1650"/>
      <c r="AQ14" s="1650"/>
      <c r="AR14" s="1650"/>
      <c r="AS14" s="1650"/>
      <c r="AT14" s="1650"/>
      <c r="AU14" s="1650"/>
      <c r="AV14" s="1650"/>
      <c r="AW14" s="1650"/>
      <c r="AX14" s="1650"/>
      <c r="AY14" s="1650"/>
      <c r="AZ14" s="1650"/>
      <c r="BA14" s="1650"/>
      <c r="BB14" s="1650"/>
      <c r="BC14" s="1650"/>
      <c r="BD14" s="1650"/>
      <c r="BE14" s="1650"/>
      <c r="BF14" s="1650"/>
      <c r="BG14" s="1650"/>
      <c r="BH14" s="1650"/>
      <c r="BI14" s="1650"/>
      <c r="BJ14" s="1650"/>
      <c r="BK14" s="1650"/>
      <c r="BL14" s="1650"/>
      <c r="BM14" s="1650"/>
      <c r="BN14" s="1650"/>
      <c r="BO14" s="1650"/>
      <c r="BP14" s="1650"/>
      <c r="BQ14" s="1650"/>
      <c r="BR14" s="1650"/>
      <c r="BS14" s="1650"/>
      <c r="BT14" s="1651"/>
    </row>
    <row r="15" spans="1:72" ht="23" x14ac:dyDescent="0.25">
      <c r="A15" s="919" t="s">
        <v>753</v>
      </c>
      <c r="B15" s="920" t="s">
        <v>747</v>
      </c>
      <c r="C15" s="921">
        <v>10.789461735918687</v>
      </c>
      <c r="D15" s="921">
        <v>9.9590971559848445</v>
      </c>
      <c r="E15" s="921">
        <v>11.383831536994775</v>
      </c>
      <c r="F15" s="921">
        <v>12.531178240506115</v>
      </c>
      <c r="G15" s="921">
        <v>12.036300060884058</v>
      </c>
      <c r="H15" s="921">
        <v>12.613383383121093</v>
      </c>
      <c r="I15" s="921">
        <v>13.01890940036416</v>
      </c>
      <c r="J15" s="921">
        <v>12.908589399085846</v>
      </c>
      <c r="K15" s="921">
        <v>12.946875513724528</v>
      </c>
      <c r="L15" s="921">
        <v>13.039098811599491</v>
      </c>
      <c r="M15" s="921">
        <v>13.088955960183741</v>
      </c>
      <c r="N15" s="921">
        <v>13.133508268392355</v>
      </c>
      <c r="O15" s="921">
        <v>13.038477461293056</v>
      </c>
      <c r="P15" s="921">
        <v>12.989168095138872</v>
      </c>
      <c r="Q15" s="921">
        <v>12.752903866318045</v>
      </c>
      <c r="R15" s="921">
        <v>12.539506322932722</v>
      </c>
      <c r="S15" s="921">
        <v>12.335074118848111</v>
      </c>
      <c r="T15" s="921">
        <v>12.292193988584152</v>
      </c>
      <c r="U15" s="921">
        <v>12.304560350921868</v>
      </c>
      <c r="V15" s="921">
        <v>12.340337204483362</v>
      </c>
      <c r="W15" s="921">
        <v>12.418707870087554</v>
      </c>
      <c r="X15" s="921">
        <v>12.438495640484758</v>
      </c>
      <c r="Y15" s="921">
        <v>12.492141534697302</v>
      </c>
      <c r="Z15" s="921">
        <v>12.624332072599859</v>
      </c>
      <c r="AA15" s="921">
        <v>13.025979869770596</v>
      </c>
      <c r="AB15" s="921">
        <v>13.053872203635709</v>
      </c>
      <c r="AC15" s="921">
        <v>13.081764537500822</v>
      </c>
      <c r="AD15" s="921">
        <v>13.109656871365935</v>
      </c>
      <c r="AE15" s="921">
        <v>13.137549205231048</v>
      </c>
      <c r="AF15" s="921">
        <v>13.165441539096161</v>
      </c>
      <c r="AG15" s="921">
        <v>13.193333872961274</v>
      </c>
      <c r="AH15" s="921">
        <v>13.221226206826387</v>
      </c>
      <c r="AI15" s="921">
        <v>13.2491185406915</v>
      </c>
      <c r="AJ15" s="921">
        <v>13.277010874556613</v>
      </c>
      <c r="AK15" s="921">
        <v>13.304903208421727</v>
      </c>
      <c r="AL15" s="921">
        <v>13.445726499778688</v>
      </c>
      <c r="AM15" s="921">
        <v>13.586549791135649</v>
      </c>
      <c r="AN15" s="921">
        <v>13.72737308249261</v>
      </c>
      <c r="AO15" s="921">
        <v>13.868196373849571</v>
      </c>
      <c r="AP15" s="921">
        <v>14.009019665206532</v>
      </c>
      <c r="AQ15" s="921">
        <v>14.149842956563493</v>
      </c>
      <c r="AR15" s="921">
        <v>14.290666247920454</v>
      </c>
      <c r="AS15" s="921">
        <v>14.431489539277415</v>
      </c>
      <c r="AT15" s="921">
        <v>14.572312830634376</v>
      </c>
      <c r="AU15" s="921">
        <v>14.713136121991337</v>
      </c>
      <c r="AV15" s="921">
        <v>14.853959413348298</v>
      </c>
      <c r="AW15" s="921">
        <v>14.994782704705258</v>
      </c>
      <c r="AX15" s="921">
        <v>15.135605996062219</v>
      </c>
      <c r="AY15" s="921">
        <v>15.27642928741918</v>
      </c>
      <c r="AZ15" s="921">
        <v>15.417252578776129</v>
      </c>
      <c r="BA15" s="921">
        <v>15.505038084680947</v>
      </c>
      <c r="BB15" s="921">
        <v>15.592823590585766</v>
      </c>
      <c r="BC15" s="921">
        <v>15.680609096490585</v>
      </c>
      <c r="BD15" s="921">
        <v>15.768394602395404</v>
      </c>
      <c r="BE15" s="921">
        <v>15.856180108300222</v>
      </c>
      <c r="BF15" s="921">
        <v>15.943965614205041</v>
      </c>
      <c r="BG15" s="921">
        <v>16.03175112010986</v>
      </c>
      <c r="BH15" s="921">
        <v>16.119536626014678</v>
      </c>
      <c r="BI15" s="921">
        <v>16.207322131919497</v>
      </c>
      <c r="BJ15" s="921">
        <v>16.295107637824316</v>
      </c>
      <c r="BK15" s="921">
        <v>16.382893143729135</v>
      </c>
      <c r="BL15" s="921">
        <v>16.470678649633953</v>
      </c>
      <c r="BM15" s="921">
        <v>16.558464155538772</v>
      </c>
      <c r="BN15" s="921">
        <v>16.646249661443591</v>
      </c>
      <c r="BO15" s="921">
        <v>16.734035167348416</v>
      </c>
      <c r="BP15" s="921">
        <v>16.829318405103567</v>
      </c>
      <c r="BQ15" s="921">
        <v>16.924601642858718</v>
      </c>
      <c r="BR15" s="921">
        <v>17.019884880613869</v>
      </c>
      <c r="BS15" s="921">
        <v>17.11516811836902</v>
      </c>
      <c r="BT15" s="928">
        <v>17.210451356124164</v>
      </c>
    </row>
    <row r="16" spans="1:72" x14ac:dyDescent="0.25">
      <c r="A16" s="925" t="s">
        <v>754</v>
      </c>
      <c r="B16" s="920" t="s">
        <v>747</v>
      </c>
      <c r="C16" s="921">
        <v>12.730520250245322</v>
      </c>
      <c r="D16" s="921">
        <v>11.801320287416596</v>
      </c>
      <c r="E16" s="921">
        <v>13.477350603859424</v>
      </c>
      <c r="F16" s="921">
        <v>15.275134761378448</v>
      </c>
      <c r="G16" s="921">
        <v>14.956036086352325</v>
      </c>
      <c r="H16" s="921">
        <v>15.333911517881027</v>
      </c>
      <c r="I16" s="921">
        <v>14.969645149302909</v>
      </c>
      <c r="J16" s="921">
        <v>14.856007634468792</v>
      </c>
      <c r="K16" s="921">
        <v>14.855665643260203</v>
      </c>
      <c r="L16" s="921">
        <v>14.676357863084307</v>
      </c>
      <c r="M16" s="921">
        <v>14.660823111264261</v>
      </c>
      <c r="N16" s="921">
        <v>14.621396694543213</v>
      </c>
      <c r="O16" s="921">
        <v>14.496914877081778</v>
      </c>
      <c r="P16" s="921">
        <v>14.525867813038341</v>
      </c>
      <c r="Q16" s="921">
        <v>14.406443289990676</v>
      </c>
      <c r="R16" s="921">
        <v>14.511791494657368</v>
      </c>
      <c r="S16" s="921">
        <v>14.408484301477108</v>
      </c>
      <c r="T16" s="921">
        <v>14.421367627269808</v>
      </c>
      <c r="U16" s="921">
        <v>14.483474821414545</v>
      </c>
      <c r="V16" s="921">
        <v>14.423047758498246</v>
      </c>
      <c r="W16" s="921">
        <v>14.678410804496627</v>
      </c>
      <c r="X16" s="921">
        <v>14.842794247393387</v>
      </c>
      <c r="Y16" s="921">
        <v>14.985196801851416</v>
      </c>
      <c r="Z16" s="921">
        <v>15.125157698145465</v>
      </c>
      <c r="AA16" s="921">
        <v>15.225733932459173</v>
      </c>
      <c r="AB16" s="922">
        <v>15.312322281050708</v>
      </c>
      <c r="AC16" s="922">
        <v>15.398910629642243</v>
      </c>
      <c r="AD16" s="922">
        <v>15.485498978233778</v>
      </c>
      <c r="AE16" s="922">
        <v>15.572087326825313</v>
      </c>
      <c r="AF16" s="922">
        <v>15.658675675416848</v>
      </c>
      <c r="AG16" s="922">
        <v>15.745264024008383</v>
      </c>
      <c r="AH16" s="922">
        <v>15.831852372599919</v>
      </c>
      <c r="AI16" s="922">
        <v>15.918440721191454</v>
      </c>
      <c r="AJ16" s="922">
        <v>16.005029069782989</v>
      </c>
      <c r="AK16" s="922">
        <v>16.091617418374518</v>
      </c>
      <c r="AL16" s="922">
        <v>16.26193617174043</v>
      </c>
      <c r="AM16" s="922">
        <v>16.432254925106342</v>
      </c>
      <c r="AN16" s="922">
        <v>16.602573678472254</v>
      </c>
      <c r="AO16" s="922">
        <v>16.772892431838166</v>
      </c>
      <c r="AP16" s="922">
        <v>16.943211185204078</v>
      </c>
      <c r="AQ16" s="922">
        <v>17.113529938569989</v>
      </c>
      <c r="AR16" s="922">
        <v>17.283848691935901</v>
      </c>
      <c r="AS16" s="922">
        <v>17.454167445301813</v>
      </c>
      <c r="AT16" s="922">
        <v>17.624486198667725</v>
      </c>
      <c r="AU16" s="922">
        <v>17.794804952033637</v>
      </c>
      <c r="AV16" s="922">
        <v>17.965123705399549</v>
      </c>
      <c r="AW16" s="922">
        <v>18.135442458765461</v>
      </c>
      <c r="AX16" s="922">
        <v>18.305761212131372</v>
      </c>
      <c r="AY16" s="922">
        <v>18.476079965497284</v>
      </c>
      <c r="AZ16" s="921">
        <v>18.646398718863171</v>
      </c>
      <c r="BA16" s="922">
        <v>18.752570913712709</v>
      </c>
      <c r="BB16" s="922">
        <v>18.858743108562248</v>
      </c>
      <c r="BC16" s="922">
        <v>18.964915303411786</v>
      </c>
      <c r="BD16" s="922">
        <v>19.071087498261324</v>
      </c>
      <c r="BE16" s="922">
        <v>19.177259693110862</v>
      </c>
      <c r="BF16" s="922">
        <v>19.283431887960401</v>
      </c>
      <c r="BG16" s="922">
        <v>19.389604082809939</v>
      </c>
      <c r="BH16" s="922">
        <v>19.495776277659477</v>
      </c>
      <c r="BI16" s="922">
        <v>19.601948472509015</v>
      </c>
      <c r="BJ16" s="922">
        <v>19.708120667358553</v>
      </c>
      <c r="BK16" s="922">
        <v>19.814292862208092</v>
      </c>
      <c r="BL16" s="922">
        <v>19.92046505705763</v>
      </c>
      <c r="BM16" s="922">
        <v>20.026637251907168</v>
      </c>
      <c r="BN16" s="922">
        <v>20.132809446756706</v>
      </c>
      <c r="BO16" s="921">
        <v>20.238981641606255</v>
      </c>
      <c r="BP16" s="922">
        <v>20.354221969500514</v>
      </c>
      <c r="BQ16" s="922">
        <v>20.469462297394774</v>
      </c>
      <c r="BR16" s="922">
        <v>20.584702625289033</v>
      </c>
      <c r="BS16" s="922">
        <v>20.699942953183292</v>
      </c>
      <c r="BT16" s="928">
        <v>20.815183281077545</v>
      </c>
    </row>
    <row r="17" spans="1:72" x14ac:dyDescent="0.25">
      <c r="A17" s="925" t="s">
        <v>312</v>
      </c>
      <c r="B17" s="920" t="s">
        <v>747</v>
      </c>
      <c r="C17" s="921">
        <v>15.730049999999999</v>
      </c>
      <c r="D17" s="921">
        <v>15.730049999999999</v>
      </c>
      <c r="E17" s="921">
        <v>15.730049999999999</v>
      </c>
      <c r="F17" s="921">
        <v>15.730049999999999</v>
      </c>
      <c r="G17" s="921">
        <v>15.730049999999999</v>
      </c>
      <c r="H17" s="921">
        <v>15.730049999999999</v>
      </c>
      <c r="I17" s="921">
        <v>15.730049999999999</v>
      </c>
      <c r="J17" s="921">
        <v>15.730049999999999</v>
      </c>
      <c r="K17" s="921">
        <v>15.730049999999999</v>
      </c>
      <c r="L17" s="921">
        <v>15.730049999999999</v>
      </c>
      <c r="M17" s="921">
        <v>15.730049999999999</v>
      </c>
      <c r="N17" s="921">
        <v>15.730049999999999</v>
      </c>
      <c r="O17" s="921">
        <v>15.730049999999999</v>
      </c>
      <c r="P17" s="921">
        <v>15.730049999999999</v>
      </c>
      <c r="Q17" s="921">
        <v>15.730049999999999</v>
      </c>
      <c r="R17" s="921">
        <v>15.730049999999999</v>
      </c>
      <c r="S17" s="921">
        <v>15.730049999999999</v>
      </c>
      <c r="T17" s="921">
        <v>15.730049999999999</v>
      </c>
      <c r="U17" s="921">
        <v>15.730049999999999</v>
      </c>
      <c r="V17" s="921">
        <v>15.730049999999999</v>
      </c>
      <c r="W17" s="921">
        <v>15.730049999999999</v>
      </c>
      <c r="X17" s="921">
        <v>15.730049999999999</v>
      </c>
      <c r="Y17" s="921">
        <v>15.730049999999999</v>
      </c>
      <c r="Z17" s="921">
        <v>15.730049999999999</v>
      </c>
      <c r="AA17" s="921">
        <v>15.730049999999999</v>
      </c>
      <c r="AB17" s="921">
        <v>15.730049999999999</v>
      </c>
      <c r="AC17" s="921">
        <v>15.730049999999999</v>
      </c>
      <c r="AD17" s="921">
        <v>15.730049999999999</v>
      </c>
      <c r="AE17" s="921">
        <v>15.730049999999999</v>
      </c>
      <c r="AF17" s="921">
        <v>15.730049999999999</v>
      </c>
      <c r="AG17" s="921">
        <v>15.730049999999999</v>
      </c>
      <c r="AH17" s="921">
        <v>15.730049999999999</v>
      </c>
      <c r="AI17" s="921">
        <v>15.730049999999999</v>
      </c>
      <c r="AJ17" s="921">
        <v>15.730049999999999</v>
      </c>
      <c r="AK17" s="921">
        <v>15.730049999999999</v>
      </c>
      <c r="AL17" s="921">
        <v>15.730049999999999</v>
      </c>
      <c r="AM17" s="921">
        <v>15.730049999999999</v>
      </c>
      <c r="AN17" s="921">
        <v>15.730049999999999</v>
      </c>
      <c r="AO17" s="921">
        <v>15.730049999999999</v>
      </c>
      <c r="AP17" s="921">
        <v>15.730049999999999</v>
      </c>
      <c r="AQ17" s="921">
        <v>15.730049999999999</v>
      </c>
      <c r="AR17" s="921">
        <v>15.730049999999999</v>
      </c>
      <c r="AS17" s="921">
        <v>15.730049999999999</v>
      </c>
      <c r="AT17" s="921">
        <v>15.730049999999999</v>
      </c>
      <c r="AU17" s="921">
        <v>15.730049999999999</v>
      </c>
      <c r="AV17" s="921">
        <v>15.730049999999999</v>
      </c>
      <c r="AW17" s="921">
        <v>15.730049999999999</v>
      </c>
      <c r="AX17" s="921">
        <v>15.730049999999999</v>
      </c>
      <c r="AY17" s="921">
        <v>15.730049999999999</v>
      </c>
      <c r="AZ17" s="921">
        <v>15.730049999999999</v>
      </c>
      <c r="BA17" s="921">
        <v>15.730049999999999</v>
      </c>
      <c r="BB17" s="921">
        <v>15.730049999999999</v>
      </c>
      <c r="BC17" s="921">
        <v>15.730049999999999</v>
      </c>
      <c r="BD17" s="921">
        <v>15.730049999999999</v>
      </c>
      <c r="BE17" s="921">
        <v>15.730049999999999</v>
      </c>
      <c r="BF17" s="921">
        <v>15.730049999999999</v>
      </c>
      <c r="BG17" s="921">
        <v>15.730049999999999</v>
      </c>
      <c r="BH17" s="921">
        <v>15.730049999999999</v>
      </c>
      <c r="BI17" s="921">
        <v>15.730049999999999</v>
      </c>
      <c r="BJ17" s="921">
        <v>15.730049999999999</v>
      </c>
      <c r="BK17" s="921">
        <v>15.730049999999999</v>
      </c>
      <c r="BL17" s="921">
        <v>15.730049999999999</v>
      </c>
      <c r="BM17" s="921">
        <v>15.730049999999999</v>
      </c>
      <c r="BN17" s="921">
        <v>15.730049999999999</v>
      </c>
      <c r="BO17" s="921">
        <v>15.730049999999999</v>
      </c>
      <c r="BP17" s="921">
        <v>15.730049999999999</v>
      </c>
      <c r="BQ17" s="921">
        <v>15.730049999999999</v>
      </c>
      <c r="BR17" s="921">
        <v>15.730049999999999</v>
      </c>
      <c r="BS17" s="921">
        <v>15.730049999999999</v>
      </c>
      <c r="BT17" s="928">
        <v>15.730049999999999</v>
      </c>
    </row>
    <row r="18" spans="1:72" x14ac:dyDescent="0.25">
      <c r="A18" s="919" t="s">
        <v>311</v>
      </c>
      <c r="B18" s="920" t="s">
        <v>747</v>
      </c>
      <c r="C18" s="921">
        <v>8.7353999999999985</v>
      </c>
      <c r="D18" s="921">
        <v>8.7353999999999985</v>
      </c>
      <c r="E18" s="921">
        <v>8.7353999999999985</v>
      </c>
      <c r="F18" s="921">
        <v>8.7353999999999985</v>
      </c>
      <c r="G18" s="921">
        <v>8.7353999999999985</v>
      </c>
      <c r="H18" s="921">
        <v>8.7353999999999985</v>
      </c>
      <c r="I18" s="921">
        <v>8.7353999999999985</v>
      </c>
      <c r="J18" s="921">
        <v>8.7353999999999985</v>
      </c>
      <c r="K18" s="921">
        <v>8.7353999999999985</v>
      </c>
      <c r="L18" s="921">
        <v>8.7353999999999985</v>
      </c>
      <c r="M18" s="921">
        <v>8.7353999999999985</v>
      </c>
      <c r="N18" s="921">
        <v>8.7353999999999985</v>
      </c>
      <c r="O18" s="921">
        <v>8.7353999999999985</v>
      </c>
      <c r="P18" s="921">
        <v>8.7353999999999985</v>
      </c>
      <c r="Q18" s="921">
        <v>8.7353999999999985</v>
      </c>
      <c r="R18" s="921">
        <v>8.7353999999999985</v>
      </c>
      <c r="S18" s="921">
        <v>8.7353999999999985</v>
      </c>
      <c r="T18" s="921">
        <v>8.7353999999999985</v>
      </c>
      <c r="U18" s="921">
        <v>8.7353999999999985</v>
      </c>
      <c r="V18" s="921">
        <v>8.7353999999999985</v>
      </c>
      <c r="W18" s="921">
        <v>8.7353999999999985</v>
      </c>
      <c r="X18" s="921">
        <v>8.7353999999999985</v>
      </c>
      <c r="Y18" s="921">
        <v>8.7353999999999985</v>
      </c>
      <c r="Z18" s="921">
        <v>8.7353999999999985</v>
      </c>
      <c r="AA18" s="921">
        <v>8.7353999999999985</v>
      </c>
      <c r="AB18" s="921">
        <v>8.7353999999999985</v>
      </c>
      <c r="AC18" s="921">
        <v>8.7353999999999985</v>
      </c>
      <c r="AD18" s="921">
        <v>8.7353999999999985</v>
      </c>
      <c r="AE18" s="921">
        <v>8.7353999999999985</v>
      </c>
      <c r="AF18" s="921">
        <v>8.7353999999999985</v>
      </c>
      <c r="AG18" s="921">
        <v>8.7353999999999985</v>
      </c>
      <c r="AH18" s="921">
        <v>8.7353999999999985</v>
      </c>
      <c r="AI18" s="921">
        <v>8.7353999999999985</v>
      </c>
      <c r="AJ18" s="921">
        <v>8.7353999999999985</v>
      </c>
      <c r="AK18" s="921">
        <v>8.7353999999999985</v>
      </c>
      <c r="AL18" s="921">
        <v>8.7353999999999985</v>
      </c>
      <c r="AM18" s="921">
        <v>8.7353999999999985</v>
      </c>
      <c r="AN18" s="921">
        <v>8.7353999999999985</v>
      </c>
      <c r="AO18" s="921">
        <v>8.7353999999999985</v>
      </c>
      <c r="AP18" s="921">
        <v>8.7353999999999985</v>
      </c>
      <c r="AQ18" s="921">
        <v>8.7353999999999985</v>
      </c>
      <c r="AR18" s="921">
        <v>8.7353999999999985</v>
      </c>
      <c r="AS18" s="921">
        <v>8.7353999999999985</v>
      </c>
      <c r="AT18" s="921">
        <v>8.7353999999999985</v>
      </c>
      <c r="AU18" s="921">
        <v>8.7353999999999985</v>
      </c>
      <c r="AV18" s="921">
        <v>8.7353999999999985</v>
      </c>
      <c r="AW18" s="921">
        <v>8.7353999999999985</v>
      </c>
      <c r="AX18" s="921">
        <v>8.7353999999999985</v>
      </c>
      <c r="AY18" s="921">
        <v>8.7353999999999985</v>
      </c>
      <c r="AZ18" s="921">
        <v>8.7353999999999985</v>
      </c>
      <c r="BA18" s="921">
        <v>8.7353999999999985</v>
      </c>
      <c r="BB18" s="921">
        <v>8.7353999999999985</v>
      </c>
      <c r="BC18" s="921">
        <v>8.7353999999999985</v>
      </c>
      <c r="BD18" s="921">
        <v>8.7353999999999985</v>
      </c>
      <c r="BE18" s="921">
        <v>8.7353999999999985</v>
      </c>
      <c r="BF18" s="921">
        <v>8.7353999999999985</v>
      </c>
      <c r="BG18" s="921">
        <v>8.7353999999999985</v>
      </c>
      <c r="BH18" s="921">
        <v>8.7353999999999985</v>
      </c>
      <c r="BI18" s="921">
        <v>8.7353999999999985</v>
      </c>
      <c r="BJ18" s="921">
        <v>8.7353999999999985</v>
      </c>
      <c r="BK18" s="921">
        <v>8.7353999999999985</v>
      </c>
      <c r="BL18" s="921">
        <v>8.7353999999999985</v>
      </c>
      <c r="BM18" s="921">
        <v>8.7353999999999985</v>
      </c>
      <c r="BN18" s="921">
        <v>8.7353999999999985</v>
      </c>
      <c r="BO18" s="921">
        <v>8.7353999999999985</v>
      </c>
      <c r="BP18" s="921">
        <v>8.7353999999999985</v>
      </c>
      <c r="BQ18" s="921">
        <v>8.7353999999999985</v>
      </c>
      <c r="BR18" s="921">
        <v>8.7353999999999985</v>
      </c>
      <c r="BS18" s="921">
        <v>8.7353999999999985</v>
      </c>
      <c r="BT18" s="928">
        <v>8.7353999999999985</v>
      </c>
    </row>
    <row r="19" spans="1:72" x14ac:dyDescent="0.25">
      <c r="A19" s="1649" t="s">
        <v>755</v>
      </c>
      <c r="B19" s="1650"/>
      <c r="C19" s="1650"/>
      <c r="D19" s="1650"/>
      <c r="E19" s="1650"/>
      <c r="F19" s="1650"/>
      <c r="G19" s="1650"/>
      <c r="H19" s="1650"/>
      <c r="I19" s="1650"/>
      <c r="J19" s="1650"/>
      <c r="K19" s="1650"/>
      <c r="L19" s="1650"/>
      <c r="M19" s="1650"/>
      <c r="N19" s="1650"/>
      <c r="O19" s="1650"/>
      <c r="P19" s="1650"/>
      <c r="Q19" s="1650"/>
      <c r="R19" s="1650"/>
      <c r="S19" s="1650"/>
      <c r="T19" s="1650"/>
      <c r="U19" s="1650"/>
      <c r="V19" s="1650"/>
      <c r="W19" s="1650"/>
      <c r="X19" s="1650"/>
      <c r="Y19" s="1650"/>
      <c r="Z19" s="1650"/>
      <c r="AA19" s="1650"/>
      <c r="AB19" s="1650"/>
      <c r="AC19" s="1650"/>
      <c r="AD19" s="1650"/>
      <c r="AE19" s="1650"/>
      <c r="AF19" s="1650"/>
      <c r="AG19" s="1650"/>
      <c r="AH19" s="1650"/>
      <c r="AI19" s="1650"/>
      <c r="AJ19" s="1650"/>
      <c r="AK19" s="1650"/>
      <c r="AL19" s="1650"/>
      <c r="AM19" s="1650"/>
      <c r="AN19" s="1650"/>
      <c r="AO19" s="1650"/>
      <c r="AP19" s="1650"/>
      <c r="AQ19" s="1650"/>
      <c r="AR19" s="1650"/>
      <c r="AS19" s="1650"/>
      <c r="AT19" s="1650"/>
      <c r="AU19" s="1650"/>
      <c r="AV19" s="1650"/>
      <c r="AW19" s="1650"/>
      <c r="AX19" s="1650"/>
      <c r="AY19" s="1650"/>
      <c r="AZ19" s="1650"/>
      <c r="BA19" s="1650"/>
      <c r="BB19" s="1650"/>
      <c r="BC19" s="1650"/>
      <c r="BD19" s="1650"/>
      <c r="BE19" s="1650"/>
      <c r="BF19" s="1650"/>
      <c r="BG19" s="1650"/>
      <c r="BH19" s="1650"/>
      <c r="BI19" s="1650"/>
      <c r="BJ19" s="1650"/>
      <c r="BK19" s="1650"/>
      <c r="BL19" s="1650"/>
      <c r="BM19" s="1650"/>
      <c r="BN19" s="1650"/>
      <c r="BO19" s="1650"/>
      <c r="BP19" s="1650"/>
      <c r="BQ19" s="1650"/>
      <c r="BR19" s="1650"/>
      <c r="BS19" s="1650"/>
      <c r="BT19" s="1651"/>
    </row>
    <row r="20" spans="1:72" ht="23.5" thickBot="1" x14ac:dyDescent="0.3">
      <c r="A20" s="929" t="s">
        <v>756</v>
      </c>
      <c r="B20" s="930" t="s">
        <v>747</v>
      </c>
      <c r="C20" s="931">
        <v>1.2696286520685174</v>
      </c>
      <c r="D20" s="931">
        <v>1.2696286520685174</v>
      </c>
      <c r="E20" s="931">
        <v>1.2696286520685174</v>
      </c>
      <c r="F20" s="931">
        <v>1.2696286520685174</v>
      </c>
      <c r="G20" s="931">
        <v>1.2696286520685174</v>
      </c>
      <c r="H20" s="931">
        <v>1.2696286520685174</v>
      </c>
      <c r="I20" s="931">
        <v>1.2696286520685174</v>
      </c>
      <c r="J20" s="931">
        <v>1.2696286520685174</v>
      </c>
      <c r="K20" s="931">
        <v>1.2696286520685174</v>
      </c>
      <c r="L20" s="931">
        <v>1.2696286520685174</v>
      </c>
      <c r="M20" s="931">
        <v>1.2716814065585227</v>
      </c>
      <c r="N20" s="931">
        <v>1.2809188017635484</v>
      </c>
      <c r="O20" s="931">
        <v>1.3178683825836508</v>
      </c>
      <c r="P20" s="931">
        <v>1.3209475143186591</v>
      </c>
      <c r="Q20" s="931">
        <v>1.3435278137087219</v>
      </c>
      <c r="R20" s="931">
        <v>1.3466069454437304</v>
      </c>
      <c r="S20" s="931">
        <v>1.3630289813637759</v>
      </c>
      <c r="T20" s="931">
        <v>1.3578970951387617</v>
      </c>
      <c r="U20" s="931">
        <v>1.383556526263833</v>
      </c>
      <c r="V20" s="931">
        <v>1.4030576939188868</v>
      </c>
      <c r="W20" s="931">
        <v>1.460534819639046</v>
      </c>
      <c r="X20" s="931">
        <v>1.4800359872941</v>
      </c>
      <c r="Y20" s="931">
        <v>1.4861942507641173</v>
      </c>
      <c r="Z20" s="931">
        <v>1.5118536818891883</v>
      </c>
      <c r="AA20" s="931">
        <v>1.5262229633192279</v>
      </c>
      <c r="AB20" s="931">
        <v>1.6236006669873051</v>
      </c>
      <c r="AC20" s="931">
        <v>1.7209783706553823</v>
      </c>
      <c r="AD20" s="931">
        <v>1.8183560743234595</v>
      </c>
      <c r="AE20" s="931">
        <v>1.9157337779915367</v>
      </c>
      <c r="AF20" s="931">
        <v>2.0131114816596138</v>
      </c>
      <c r="AG20" s="931">
        <v>2.1104891853276913</v>
      </c>
      <c r="AH20" s="931">
        <v>2.2078668889957687</v>
      </c>
      <c r="AI20" s="931">
        <v>2.3052445926638461</v>
      </c>
      <c r="AJ20" s="931">
        <v>2.4026222963319235</v>
      </c>
      <c r="AK20" s="931">
        <v>2.5</v>
      </c>
      <c r="AL20" s="931">
        <v>2.5714285714285716</v>
      </c>
      <c r="AM20" s="931">
        <v>2.6428571428571432</v>
      </c>
      <c r="AN20" s="931">
        <v>2.7142857142857149</v>
      </c>
      <c r="AO20" s="931">
        <v>2.7857142857142865</v>
      </c>
      <c r="AP20" s="931">
        <v>2.8571428571428581</v>
      </c>
      <c r="AQ20" s="931">
        <v>2.9285714285714297</v>
      </c>
      <c r="AR20" s="931">
        <v>3</v>
      </c>
      <c r="AS20" s="931">
        <v>3.071428571428573</v>
      </c>
      <c r="AT20" s="931">
        <v>3.1428571428571446</v>
      </c>
      <c r="AU20" s="931">
        <v>3.2142857142857162</v>
      </c>
      <c r="AV20" s="931">
        <v>3.2857142857142878</v>
      </c>
      <c r="AW20" s="931">
        <v>3.3571428571428594</v>
      </c>
      <c r="AX20" s="931">
        <v>3.428571428571431</v>
      </c>
      <c r="AY20" s="931">
        <v>3.5</v>
      </c>
      <c r="AZ20" s="931">
        <v>3.5714285714285743</v>
      </c>
      <c r="BA20" s="931">
        <v>3.6428571428571459</v>
      </c>
      <c r="BB20" s="931">
        <v>3.7142857142857175</v>
      </c>
      <c r="BC20" s="931">
        <v>3.7857142857142891</v>
      </c>
      <c r="BD20" s="931">
        <v>3.8571428571428608</v>
      </c>
      <c r="BE20" s="931">
        <v>3.9285714285714324</v>
      </c>
      <c r="BF20" s="931">
        <v>4</v>
      </c>
      <c r="BG20" s="931">
        <v>4.0714285714285747</v>
      </c>
      <c r="BH20" s="931">
        <v>4.1428571428571459</v>
      </c>
      <c r="BI20" s="931">
        <v>4.2142857142857171</v>
      </c>
      <c r="BJ20" s="931">
        <v>4.2857142857142883</v>
      </c>
      <c r="BK20" s="931">
        <v>4.3571428571428594</v>
      </c>
      <c r="BL20" s="931">
        <v>4.4285714285714306</v>
      </c>
      <c r="BM20" s="931">
        <v>4.5</v>
      </c>
      <c r="BN20" s="931">
        <v>4.571428571428573</v>
      </c>
      <c r="BO20" s="931">
        <v>4.6428571428571441</v>
      </c>
      <c r="BP20" s="931">
        <v>4.7142857142857153</v>
      </c>
      <c r="BQ20" s="931">
        <v>4.7857142857142865</v>
      </c>
      <c r="BR20" s="931">
        <v>4.8571428571428577</v>
      </c>
      <c r="BS20" s="931">
        <v>4.9285714285714288</v>
      </c>
      <c r="BT20" s="932">
        <v>5</v>
      </c>
    </row>
    <row r="21" spans="1:72" ht="47.25" customHeight="1" x14ac:dyDescent="0.25">
      <c r="A21" s="1657" t="s">
        <v>437</v>
      </c>
      <c r="B21" s="1658"/>
      <c r="C21" s="1658"/>
      <c r="D21" s="1658"/>
      <c r="E21" s="1658"/>
      <c r="F21" s="1658"/>
      <c r="G21" s="1658"/>
      <c r="H21" s="1658"/>
      <c r="I21" s="1658"/>
      <c r="J21" s="1658"/>
      <c r="K21" s="1658"/>
      <c r="L21" s="1658"/>
      <c r="M21" s="1658"/>
      <c r="N21" s="1658"/>
      <c r="O21" s="1658"/>
      <c r="P21" s="1658"/>
      <c r="Q21" s="1658"/>
      <c r="R21" s="1658"/>
      <c r="S21" s="1658"/>
      <c r="T21" s="1658"/>
      <c r="U21" s="933"/>
      <c r="V21" s="933"/>
      <c r="W21" s="933"/>
      <c r="X21" s="933"/>
      <c r="Y21" s="933"/>
      <c r="Z21" s="933"/>
      <c r="AA21" s="933"/>
      <c r="AB21" s="933"/>
      <c r="AC21" s="933"/>
      <c r="AD21" s="933"/>
      <c r="AE21" s="933"/>
      <c r="AF21" s="933"/>
      <c r="AG21" s="933"/>
      <c r="AH21" s="933"/>
      <c r="AI21" s="933"/>
      <c r="AJ21" s="933"/>
      <c r="AK21" s="933"/>
      <c r="AL21" s="933"/>
      <c r="AM21" s="933"/>
      <c r="AN21" s="933"/>
      <c r="AO21" s="933"/>
      <c r="AP21" s="933"/>
      <c r="AQ21" s="933"/>
      <c r="AR21" s="933"/>
      <c r="AS21" s="933"/>
      <c r="AT21" s="933"/>
      <c r="AU21" s="933"/>
      <c r="AV21" s="933"/>
      <c r="AW21" s="933"/>
      <c r="AX21" s="933"/>
      <c r="AY21" s="933"/>
      <c r="AZ21" s="933"/>
      <c r="BA21" s="933"/>
      <c r="BB21" s="933"/>
      <c r="BC21" s="933"/>
      <c r="BD21" s="933"/>
      <c r="BE21" s="933"/>
      <c r="BF21" s="933"/>
      <c r="BG21" s="933"/>
      <c r="BH21" s="933"/>
      <c r="BI21" s="933"/>
      <c r="BJ21" s="933"/>
      <c r="BK21" s="933"/>
      <c r="BL21" s="933"/>
      <c r="BM21" s="933"/>
      <c r="BN21" s="933"/>
      <c r="BO21" s="933"/>
      <c r="BP21" s="933"/>
      <c r="BQ21" s="933"/>
      <c r="BR21" s="933"/>
      <c r="BS21" s="933"/>
      <c r="BT21" s="933"/>
    </row>
    <row r="22" spans="1:72" x14ac:dyDescent="0.25">
      <c r="A22" s="934"/>
      <c r="B22" s="934"/>
      <c r="C22" s="934"/>
      <c r="D22" s="934"/>
      <c r="E22" s="934"/>
      <c r="F22" s="934"/>
      <c r="G22" s="934"/>
      <c r="H22" s="934"/>
      <c r="I22" s="934"/>
      <c r="J22" s="934"/>
      <c r="K22" s="934"/>
      <c r="L22" s="934"/>
      <c r="M22" s="934"/>
      <c r="N22" s="934"/>
      <c r="O22" s="934"/>
      <c r="P22" s="934"/>
      <c r="Q22" s="934"/>
      <c r="R22" s="934"/>
      <c r="S22" s="934"/>
      <c r="T22" s="934"/>
      <c r="U22" s="935"/>
      <c r="V22" s="935"/>
      <c r="W22" s="935"/>
      <c r="X22" s="935"/>
      <c r="Y22" s="935"/>
      <c r="Z22" s="935"/>
      <c r="AA22" s="935"/>
      <c r="AB22" s="935"/>
      <c r="AC22" s="935"/>
      <c r="AD22" s="935"/>
      <c r="AE22" s="935"/>
      <c r="AF22" s="935"/>
      <c r="AG22" s="935"/>
      <c r="AH22" s="935"/>
      <c r="AI22" s="935"/>
      <c r="AJ22" s="935"/>
      <c r="AK22" s="935"/>
      <c r="AL22" s="935"/>
      <c r="AM22" s="935"/>
      <c r="AN22" s="935"/>
      <c r="AO22" s="935"/>
      <c r="AP22" s="935"/>
      <c r="AQ22" s="935"/>
      <c r="AR22" s="935"/>
      <c r="AS22" s="935"/>
      <c r="AT22" s="935"/>
      <c r="AU22" s="935"/>
      <c r="AV22" s="935"/>
      <c r="AW22" s="935"/>
      <c r="AX22" s="935"/>
      <c r="AY22" s="935"/>
      <c r="AZ22" s="935"/>
      <c r="BA22" s="935"/>
      <c r="BB22" s="935"/>
      <c r="BC22" s="935"/>
      <c r="BD22" s="935"/>
      <c r="BE22" s="935"/>
      <c r="BF22" s="935"/>
      <c r="BG22" s="935"/>
      <c r="BH22" s="935"/>
      <c r="BI22" s="935"/>
      <c r="BJ22" s="935"/>
      <c r="BK22" s="935"/>
      <c r="BL22" s="935"/>
      <c r="BM22" s="935"/>
      <c r="BN22" s="935"/>
      <c r="BO22" s="935"/>
      <c r="BP22" s="935"/>
      <c r="BQ22" s="935"/>
      <c r="BR22" s="935"/>
      <c r="BS22" s="935"/>
      <c r="BT22" s="935"/>
    </row>
    <row r="23" spans="1:72" ht="42.75" customHeight="1" x14ac:dyDescent="0.25">
      <c r="A23" s="1659" t="s">
        <v>757</v>
      </c>
      <c r="B23" s="1659"/>
      <c r="C23" s="1659"/>
      <c r="D23" s="1659"/>
      <c r="E23" s="1659"/>
      <c r="F23" s="1659"/>
      <c r="G23" s="1659"/>
      <c r="H23" s="1659"/>
      <c r="I23" s="1659"/>
      <c r="J23" s="1659"/>
      <c r="K23" s="1659"/>
      <c r="L23" s="1659"/>
      <c r="M23" s="1659"/>
      <c r="N23" s="1659"/>
      <c r="O23" s="1659"/>
      <c r="P23" s="1659"/>
      <c r="Q23" s="1659"/>
      <c r="R23" s="1659"/>
      <c r="S23" s="1659"/>
      <c r="T23" s="1659"/>
      <c r="U23" s="935"/>
      <c r="V23" s="935"/>
      <c r="W23" s="935"/>
      <c r="X23" s="935"/>
      <c r="Y23" s="935"/>
      <c r="Z23" s="935"/>
      <c r="AA23" s="935"/>
      <c r="AB23" s="935"/>
      <c r="AC23" s="935"/>
      <c r="AD23" s="935"/>
      <c r="AE23" s="935"/>
      <c r="AF23" s="935"/>
      <c r="AG23" s="935"/>
      <c r="AH23" s="935"/>
      <c r="AI23" s="935"/>
      <c r="AJ23" s="935"/>
      <c r="AK23" s="935"/>
      <c r="AL23" s="935"/>
      <c r="AM23" s="935"/>
      <c r="AN23" s="935"/>
      <c r="AO23" s="935"/>
      <c r="AP23" s="935"/>
      <c r="AQ23" s="935"/>
      <c r="AR23" s="935"/>
      <c r="AS23" s="935"/>
      <c r="AT23" s="935"/>
      <c r="AU23" s="935"/>
      <c r="AV23" s="935"/>
      <c r="AW23" s="935"/>
      <c r="AX23" s="935"/>
      <c r="AY23" s="935"/>
      <c r="AZ23" s="935"/>
      <c r="BA23" s="935"/>
      <c r="BB23" s="935"/>
      <c r="BC23" s="935"/>
      <c r="BD23" s="935"/>
      <c r="BE23" s="935"/>
      <c r="BF23" s="935"/>
      <c r="BG23" s="935"/>
      <c r="BH23" s="935"/>
      <c r="BI23" s="935"/>
      <c r="BJ23" s="935"/>
      <c r="BK23" s="935"/>
      <c r="BL23" s="935"/>
      <c r="BM23" s="935"/>
      <c r="BN23" s="935"/>
      <c r="BO23" s="935"/>
      <c r="BP23" s="935"/>
      <c r="BQ23" s="935"/>
      <c r="BR23" s="935"/>
      <c r="BS23" s="935"/>
      <c r="BT23" s="935"/>
    </row>
    <row r="24" spans="1:72" x14ac:dyDescent="0.25">
      <c r="A24" s="935"/>
      <c r="B24" s="935"/>
      <c r="C24" s="935"/>
      <c r="D24" s="935"/>
      <c r="E24" s="935"/>
      <c r="F24" s="935"/>
      <c r="G24" s="935"/>
      <c r="H24" s="935"/>
      <c r="I24" s="935"/>
      <c r="J24" s="935"/>
      <c r="K24" s="935"/>
      <c r="L24" s="935"/>
      <c r="M24" s="935"/>
      <c r="N24" s="935"/>
      <c r="O24" s="935"/>
      <c r="P24" s="935"/>
      <c r="Q24" s="935"/>
      <c r="R24" s="935"/>
      <c r="S24" s="935"/>
      <c r="T24" s="935"/>
      <c r="U24" s="935"/>
      <c r="V24" s="935"/>
      <c r="W24" s="935"/>
      <c r="X24" s="935"/>
      <c r="Y24" s="935"/>
      <c r="Z24" s="935"/>
      <c r="AA24" s="935"/>
      <c r="AB24" s="935"/>
      <c r="AC24" s="935"/>
      <c r="AD24" s="935"/>
      <c r="AE24" s="935"/>
      <c r="AF24" s="935"/>
      <c r="AG24" s="935"/>
      <c r="AH24" s="935"/>
      <c r="AI24" s="935"/>
      <c r="AJ24" s="935"/>
      <c r="AK24" s="935"/>
      <c r="AL24" s="935"/>
      <c r="AM24" s="935"/>
      <c r="AN24" s="935"/>
      <c r="AO24" s="935"/>
      <c r="AP24" s="935"/>
      <c r="AQ24" s="935"/>
      <c r="AR24" s="935"/>
      <c r="AS24" s="935"/>
      <c r="AT24" s="935"/>
      <c r="AU24" s="935"/>
      <c r="AV24" s="935"/>
      <c r="AW24" s="935"/>
      <c r="AX24" s="935"/>
      <c r="AY24" s="935"/>
      <c r="AZ24" s="935"/>
      <c r="BA24" s="935"/>
      <c r="BB24" s="935"/>
      <c r="BC24" s="935"/>
      <c r="BD24" s="935"/>
      <c r="BE24" s="935"/>
      <c r="BF24" s="935"/>
      <c r="BG24" s="935"/>
      <c r="BH24" s="935"/>
      <c r="BI24" s="935"/>
      <c r="BJ24" s="935"/>
      <c r="BK24" s="935"/>
      <c r="BL24" s="935"/>
      <c r="BM24" s="935"/>
      <c r="BN24" s="935"/>
      <c r="BO24" s="935"/>
      <c r="BP24" s="935"/>
      <c r="BQ24" s="935"/>
      <c r="BR24" s="935"/>
      <c r="BS24" s="935"/>
      <c r="BT24" s="935"/>
    </row>
    <row r="25" spans="1:72" ht="15.5" x14ac:dyDescent="0.35">
      <c r="A25" s="1660" t="s">
        <v>1114</v>
      </c>
      <c r="B25" s="1660"/>
      <c r="C25" s="1660"/>
      <c r="D25" s="1660"/>
      <c r="E25" s="1660"/>
      <c r="F25" s="1660"/>
      <c r="G25" s="1660"/>
      <c r="H25" s="1660"/>
      <c r="I25" s="1660"/>
      <c r="J25" s="1660"/>
      <c r="K25" s="1660"/>
      <c r="L25" s="935"/>
      <c r="M25" s="935"/>
      <c r="N25" s="935"/>
      <c r="O25" s="935"/>
      <c r="P25" s="935"/>
      <c r="Q25" s="935"/>
      <c r="R25" s="935"/>
      <c r="S25" s="935"/>
      <c r="T25" s="935"/>
      <c r="U25" s="935"/>
      <c r="V25" s="935"/>
      <c r="W25" s="935"/>
      <c r="X25" s="935"/>
      <c r="Y25" s="935"/>
      <c r="Z25" s="935"/>
      <c r="AA25" s="935"/>
      <c r="AB25" s="935"/>
      <c r="AC25" s="935"/>
      <c r="AD25" s="935"/>
      <c r="AE25" s="935"/>
      <c r="AF25" s="935"/>
      <c r="AG25" s="935"/>
      <c r="AH25" s="935"/>
      <c r="AI25" s="935"/>
      <c r="AJ25" s="935"/>
      <c r="AK25" s="935"/>
      <c r="AL25" s="935"/>
      <c r="AM25" s="935"/>
      <c r="AN25" s="935"/>
      <c r="AO25" s="935"/>
      <c r="AP25" s="935"/>
      <c r="AQ25" s="935"/>
      <c r="AR25" s="935"/>
      <c r="AS25" s="935"/>
      <c r="AT25" s="935"/>
      <c r="AU25" s="935"/>
      <c r="AV25" s="935"/>
      <c r="AW25" s="935"/>
      <c r="AX25" s="935"/>
      <c r="AY25" s="935"/>
      <c r="AZ25" s="935"/>
      <c r="BA25" s="935"/>
      <c r="BB25" s="935"/>
      <c r="BC25" s="935"/>
      <c r="BD25" s="935"/>
      <c r="BE25" s="935"/>
      <c r="BF25" s="935"/>
      <c r="BG25" s="935"/>
      <c r="BH25" s="935"/>
      <c r="BI25" s="935"/>
      <c r="BJ25" s="935"/>
      <c r="BK25" s="935"/>
      <c r="BL25" s="935"/>
      <c r="BM25" s="935"/>
      <c r="BN25" s="935"/>
      <c r="BO25" s="935"/>
      <c r="BP25" s="935"/>
      <c r="BQ25" s="935"/>
      <c r="BR25" s="935"/>
      <c r="BS25" s="935"/>
      <c r="BT25" s="935"/>
    </row>
    <row r="26" spans="1:72" ht="13" thickBot="1" x14ac:dyDescent="0.3">
      <c r="A26" s="1661"/>
      <c r="B26" s="1661"/>
      <c r="C26" s="1661"/>
      <c r="D26" s="1661"/>
      <c r="E26" s="1661"/>
      <c r="F26" s="1661"/>
      <c r="G26" s="1661"/>
      <c r="H26" s="1661"/>
      <c r="I26" s="1661"/>
      <c r="J26" s="1661"/>
      <c r="K26" s="1661"/>
      <c r="L26" s="935"/>
      <c r="M26" s="935"/>
      <c r="N26" s="935"/>
      <c r="O26" s="935"/>
      <c r="P26" s="935"/>
      <c r="Q26" s="935"/>
      <c r="R26" s="935"/>
      <c r="S26" s="935"/>
      <c r="T26" s="935"/>
      <c r="U26" s="935"/>
      <c r="V26" s="935"/>
      <c r="W26" s="935"/>
      <c r="X26" s="935"/>
      <c r="Y26" s="935"/>
      <c r="Z26" s="935"/>
      <c r="AA26" s="935"/>
      <c r="AB26" s="935"/>
      <c r="AC26" s="935"/>
      <c r="AD26" s="935"/>
      <c r="AE26" s="935"/>
      <c r="AF26" s="935"/>
      <c r="AG26" s="935"/>
      <c r="AH26" s="935"/>
      <c r="AI26" s="935"/>
      <c r="AJ26" s="935"/>
      <c r="AK26" s="935"/>
      <c r="AL26" s="935"/>
      <c r="AM26" s="935"/>
      <c r="AN26" s="935"/>
      <c r="AO26" s="935"/>
      <c r="AP26" s="935"/>
      <c r="AQ26" s="935"/>
      <c r="AR26" s="935"/>
      <c r="AS26" s="935"/>
      <c r="AT26" s="935"/>
      <c r="AU26" s="935"/>
      <c r="AV26" s="935"/>
      <c r="AW26" s="935"/>
      <c r="AX26" s="935"/>
      <c r="AY26" s="935"/>
      <c r="AZ26" s="935"/>
      <c r="BA26" s="935"/>
      <c r="BB26" s="935"/>
      <c r="BC26" s="935"/>
      <c r="BD26" s="935"/>
      <c r="BE26" s="935"/>
      <c r="BF26" s="935"/>
      <c r="BG26" s="935"/>
      <c r="BH26" s="935"/>
      <c r="BI26" s="935"/>
      <c r="BJ26" s="935"/>
      <c r="BK26" s="935"/>
      <c r="BL26" s="935"/>
      <c r="BM26" s="935"/>
      <c r="BN26" s="935"/>
      <c r="BO26" s="935"/>
      <c r="BP26" s="935"/>
      <c r="BQ26" s="935"/>
      <c r="BR26" s="935"/>
      <c r="BS26" s="935"/>
      <c r="BT26" s="935"/>
    </row>
    <row r="27" spans="1:72" ht="39" x14ac:dyDescent="0.25">
      <c r="A27" s="936"/>
      <c r="B27" s="937" t="s">
        <v>758</v>
      </c>
      <c r="C27" s="937" t="s">
        <v>759</v>
      </c>
      <c r="D27" s="937" t="s">
        <v>1116</v>
      </c>
      <c r="E27" s="1662"/>
      <c r="F27" s="1662"/>
      <c r="G27" s="1662"/>
      <c r="H27" s="1662"/>
      <c r="I27" s="1662"/>
      <c r="J27" s="1664" t="s">
        <v>760</v>
      </c>
      <c r="K27" s="1665"/>
      <c r="L27" s="935"/>
      <c r="M27" s="935"/>
      <c r="N27" s="935"/>
      <c r="O27" s="935"/>
      <c r="P27" s="935"/>
      <c r="Q27" s="935"/>
      <c r="R27" s="935"/>
      <c r="S27" s="935"/>
      <c r="T27" s="935"/>
      <c r="U27" s="935"/>
      <c r="V27" s="935"/>
      <c r="W27" s="935"/>
      <c r="X27" s="935"/>
      <c r="Y27" s="935"/>
      <c r="Z27" s="935"/>
      <c r="AA27" s="935"/>
      <c r="AB27" s="935"/>
      <c r="AC27" s="935"/>
      <c r="AD27" s="935"/>
      <c r="AE27" s="935"/>
      <c r="AF27" s="935"/>
      <c r="AG27" s="935"/>
      <c r="AH27" s="935"/>
      <c r="AI27" s="935"/>
      <c r="AJ27" s="935"/>
      <c r="AK27" s="935"/>
      <c r="AL27" s="935"/>
      <c r="AM27" s="935"/>
      <c r="AN27" s="935"/>
      <c r="AO27" s="935"/>
      <c r="AP27" s="935"/>
      <c r="AQ27" s="935"/>
      <c r="AR27" s="935"/>
      <c r="AS27" s="935"/>
      <c r="AT27" s="935"/>
      <c r="AU27" s="935"/>
      <c r="AV27" s="935"/>
      <c r="AW27" s="935"/>
      <c r="AX27" s="935"/>
      <c r="AY27" s="935"/>
      <c r="AZ27" s="935"/>
      <c r="BA27" s="935"/>
      <c r="BB27" s="935"/>
      <c r="BC27" s="935"/>
      <c r="BD27" s="935"/>
      <c r="BE27" s="935"/>
      <c r="BF27" s="935"/>
      <c r="BG27" s="935"/>
      <c r="BH27" s="935"/>
      <c r="BI27" s="935"/>
      <c r="BJ27" s="935"/>
      <c r="BK27" s="935"/>
      <c r="BL27" s="935"/>
      <c r="BM27" s="935"/>
      <c r="BN27" s="935"/>
      <c r="BO27" s="935"/>
      <c r="BP27" s="935"/>
      <c r="BQ27" s="935"/>
      <c r="BR27" s="935"/>
      <c r="BS27" s="935"/>
      <c r="BT27" s="935"/>
    </row>
    <row r="28" spans="1:72" x14ac:dyDescent="0.25">
      <c r="A28" s="938" t="s">
        <v>569</v>
      </c>
      <c r="B28" s="939">
        <f>G40/F40</f>
        <v>1.0482288241385485</v>
      </c>
      <c r="C28" s="939">
        <f>H40/G40</f>
        <v>1.0526415477404851</v>
      </c>
      <c r="D28" s="939">
        <f>I40/H40</f>
        <v>1.0160295046377366</v>
      </c>
      <c r="E28" s="1663"/>
      <c r="F28" s="1663"/>
      <c r="G28" s="1663"/>
      <c r="H28" s="1663"/>
      <c r="I28" s="1663"/>
      <c r="J28" s="1663" t="s">
        <v>1084</v>
      </c>
      <c r="K28" s="1666" t="s">
        <v>1092</v>
      </c>
      <c r="L28" s="935"/>
      <c r="M28" s="935"/>
      <c r="N28" s="935"/>
      <c r="O28" s="935"/>
      <c r="P28" s="935"/>
      <c r="Q28" s="935"/>
      <c r="R28" s="935"/>
      <c r="S28" s="935"/>
      <c r="T28" s="935"/>
      <c r="U28" s="935"/>
      <c r="V28" s="935"/>
      <c r="W28" s="935"/>
      <c r="X28" s="935"/>
      <c r="Y28" s="935"/>
      <c r="Z28" s="935"/>
      <c r="AA28" s="935"/>
      <c r="AB28" s="935"/>
      <c r="AC28" s="935"/>
      <c r="AD28" s="935"/>
      <c r="AE28" s="935"/>
      <c r="AF28" s="935"/>
      <c r="AG28" s="935"/>
      <c r="AH28" s="935"/>
      <c r="AI28" s="935"/>
      <c r="AJ28" s="935"/>
      <c r="AK28" s="935"/>
      <c r="AL28" s="935"/>
      <c r="AM28" s="935"/>
      <c r="AN28" s="935"/>
      <c r="AO28" s="935"/>
      <c r="AP28" s="935"/>
      <c r="AQ28" s="935"/>
      <c r="AR28" s="935"/>
      <c r="AS28" s="935"/>
      <c r="AT28" s="935"/>
      <c r="AU28" s="935"/>
      <c r="AV28" s="935"/>
      <c r="AW28" s="935"/>
      <c r="AX28" s="935"/>
      <c r="AY28" s="935"/>
      <c r="AZ28" s="935"/>
      <c r="BA28" s="935"/>
      <c r="BB28" s="935"/>
      <c r="BC28" s="935"/>
      <c r="BD28" s="935"/>
      <c r="BE28" s="935"/>
      <c r="BF28" s="935"/>
      <c r="BG28" s="935"/>
      <c r="BH28" s="935"/>
      <c r="BI28" s="935"/>
      <c r="BJ28" s="935"/>
      <c r="BK28" s="935"/>
      <c r="BL28" s="935"/>
      <c r="BM28" s="935"/>
      <c r="BN28" s="935"/>
      <c r="BO28" s="935"/>
      <c r="BP28" s="935"/>
      <c r="BQ28" s="935"/>
      <c r="BR28" s="935"/>
      <c r="BS28" s="935"/>
      <c r="BT28" s="935"/>
    </row>
    <row r="29" spans="1:72" x14ac:dyDescent="0.25">
      <c r="A29" s="940" t="s">
        <v>570</v>
      </c>
      <c r="B29" s="941">
        <f t="shared" ref="B29:B35" si="0">G41/F41</f>
        <v>1.1441282284851997</v>
      </c>
      <c r="C29" s="941">
        <f t="shared" ref="C29:C35" si="1">H41/G41</f>
        <v>1.1360328119345371</v>
      </c>
      <c r="D29" s="941">
        <f t="shared" ref="D29:D35" si="2">I41/H41</f>
        <v>1.0363018547359477</v>
      </c>
      <c r="E29" s="1663"/>
      <c r="F29" s="1663"/>
      <c r="G29" s="1663"/>
      <c r="H29" s="1663"/>
      <c r="I29" s="1663"/>
      <c r="J29" s="1663"/>
      <c r="K29" s="1666"/>
      <c r="L29" s="935"/>
      <c r="M29" s="935"/>
      <c r="N29" s="935"/>
      <c r="O29" s="935"/>
      <c r="P29" s="935"/>
      <c r="Q29" s="935"/>
      <c r="R29" s="935"/>
      <c r="S29" s="935"/>
      <c r="T29" s="935"/>
      <c r="U29" s="935"/>
      <c r="V29" s="935"/>
      <c r="W29" s="935"/>
      <c r="X29" s="935"/>
      <c r="Y29" s="935"/>
      <c r="Z29" s="935"/>
      <c r="AA29" s="935"/>
      <c r="AB29" s="935"/>
      <c r="AC29" s="935"/>
      <c r="AD29" s="935"/>
      <c r="AE29" s="935"/>
      <c r="AF29" s="935"/>
      <c r="AG29" s="935"/>
      <c r="AH29" s="935"/>
      <c r="AI29" s="935"/>
      <c r="AJ29" s="935"/>
      <c r="AK29" s="935"/>
      <c r="AL29" s="935"/>
      <c r="AM29" s="935"/>
      <c r="AN29" s="935"/>
      <c r="AO29" s="935"/>
      <c r="AP29" s="935"/>
      <c r="AQ29" s="935"/>
      <c r="AR29" s="935"/>
      <c r="AS29" s="935"/>
      <c r="AT29" s="935"/>
      <c r="AU29" s="935"/>
      <c r="AV29" s="935"/>
      <c r="AW29" s="935"/>
      <c r="AX29" s="935"/>
      <c r="AY29" s="935"/>
      <c r="AZ29" s="935"/>
      <c r="BA29" s="935"/>
      <c r="BB29" s="935"/>
      <c r="BC29" s="935"/>
      <c r="BD29" s="935"/>
      <c r="BE29" s="935"/>
      <c r="BF29" s="935"/>
      <c r="BG29" s="935"/>
      <c r="BH29" s="935"/>
      <c r="BI29" s="935"/>
      <c r="BJ29" s="935"/>
      <c r="BK29" s="935"/>
      <c r="BL29" s="935"/>
      <c r="BM29" s="935"/>
      <c r="BN29" s="935"/>
      <c r="BO29" s="935"/>
      <c r="BP29" s="935"/>
      <c r="BQ29" s="935"/>
      <c r="BR29" s="935"/>
      <c r="BS29" s="935"/>
      <c r="BT29" s="935"/>
    </row>
    <row r="30" spans="1:72" x14ac:dyDescent="0.25">
      <c r="A30" s="938" t="s">
        <v>571</v>
      </c>
      <c r="B30" s="939">
        <f t="shared" si="0"/>
        <v>1.1252277801242987</v>
      </c>
      <c r="C30" s="939">
        <f t="shared" si="1"/>
        <v>1.1222249629995065</v>
      </c>
      <c r="D30" s="939">
        <f t="shared" si="2"/>
        <v>1.0285793469898747</v>
      </c>
      <c r="E30" s="1663"/>
      <c r="F30" s="1663"/>
      <c r="G30" s="1663"/>
      <c r="H30" s="1663"/>
      <c r="I30" s="1663"/>
      <c r="J30" s="942">
        <v>1991</v>
      </c>
      <c r="K30" s="943">
        <v>84.5</v>
      </c>
      <c r="L30" s="935"/>
      <c r="M30" s="935"/>
      <c r="N30" s="935"/>
      <c r="O30" s="935"/>
      <c r="P30" s="935"/>
      <c r="Q30" s="935"/>
      <c r="R30" s="935"/>
      <c r="S30" s="935"/>
      <c r="T30" s="935"/>
      <c r="U30" s="935"/>
      <c r="V30" s="935"/>
      <c r="W30" s="935"/>
      <c r="X30" s="935"/>
      <c r="Y30" s="935"/>
      <c r="Z30" s="935"/>
      <c r="AA30" s="935"/>
      <c r="AB30" s="935"/>
      <c r="AC30" s="935"/>
      <c r="AD30" s="935"/>
      <c r="AE30" s="935"/>
      <c r="AF30" s="935"/>
      <c r="AG30" s="935"/>
      <c r="AH30" s="935"/>
      <c r="AI30" s="935"/>
      <c r="AJ30" s="935"/>
      <c r="AK30" s="935"/>
      <c r="AL30" s="935"/>
      <c r="AM30" s="935"/>
      <c r="AN30" s="935"/>
      <c r="AO30" s="935"/>
      <c r="AP30" s="935"/>
      <c r="AQ30" s="935"/>
      <c r="AR30" s="935"/>
      <c r="AS30" s="935"/>
      <c r="AT30" s="935"/>
      <c r="AU30" s="935"/>
      <c r="AV30" s="935"/>
      <c r="AW30" s="935"/>
      <c r="AX30" s="935"/>
      <c r="AY30" s="935"/>
      <c r="AZ30" s="935"/>
      <c r="BA30" s="935"/>
      <c r="BB30" s="935"/>
      <c r="BC30" s="935"/>
      <c r="BD30" s="935"/>
      <c r="BE30" s="935"/>
      <c r="BF30" s="935"/>
      <c r="BG30" s="935"/>
      <c r="BH30" s="935"/>
      <c r="BI30" s="935"/>
      <c r="BJ30" s="935"/>
      <c r="BK30" s="935"/>
      <c r="BL30" s="935"/>
      <c r="BM30" s="935"/>
      <c r="BN30" s="935"/>
      <c r="BO30" s="935"/>
      <c r="BP30" s="935"/>
      <c r="BQ30" s="935"/>
      <c r="BR30" s="935"/>
      <c r="BS30" s="935"/>
      <c r="BT30" s="935"/>
    </row>
    <row r="31" spans="1:72" x14ac:dyDescent="0.25">
      <c r="A31" s="940" t="s">
        <v>572</v>
      </c>
      <c r="B31" s="941">
        <f t="shared" si="0"/>
        <v>1.0687839040840581</v>
      </c>
      <c r="C31" s="941">
        <f t="shared" si="1"/>
        <v>1.0213566498986533</v>
      </c>
      <c r="D31" s="941">
        <f t="shared" si="2"/>
        <v>1.0031375164207406</v>
      </c>
      <c r="E31" s="1663"/>
      <c r="F31" s="1663"/>
      <c r="G31" s="1663"/>
      <c r="H31" s="1663"/>
      <c r="I31" s="1663"/>
      <c r="J31" s="944">
        <v>1992</v>
      </c>
      <c r="K31" s="945">
        <v>86.4</v>
      </c>
      <c r="L31" s="935"/>
      <c r="M31" s="935"/>
      <c r="N31" s="935"/>
      <c r="O31" s="935"/>
      <c r="P31" s="935"/>
      <c r="Q31" s="935"/>
      <c r="R31" s="935"/>
      <c r="S31" s="935"/>
      <c r="T31" s="935"/>
      <c r="U31" s="935"/>
      <c r="V31" s="935"/>
      <c r="W31" s="935"/>
      <c r="X31" s="935"/>
      <c r="Y31" s="935"/>
      <c r="Z31" s="935"/>
      <c r="AA31" s="935"/>
      <c r="AB31" s="935"/>
      <c r="AC31" s="935"/>
      <c r="AD31" s="935"/>
      <c r="AE31" s="935"/>
      <c r="AF31" s="935"/>
      <c r="AG31" s="935"/>
      <c r="AH31" s="935"/>
      <c r="AI31" s="935"/>
      <c r="AJ31" s="935"/>
      <c r="AK31" s="935"/>
      <c r="AL31" s="935"/>
      <c r="AM31" s="935"/>
      <c r="AN31" s="935"/>
      <c r="AO31" s="935"/>
      <c r="AP31" s="935"/>
      <c r="AQ31" s="935"/>
      <c r="AR31" s="935"/>
      <c r="AS31" s="935"/>
      <c r="AT31" s="935"/>
      <c r="AU31" s="935"/>
      <c r="AV31" s="935"/>
      <c r="AW31" s="935"/>
      <c r="AX31" s="935"/>
      <c r="AY31" s="935"/>
      <c r="AZ31" s="935"/>
      <c r="BA31" s="935"/>
      <c r="BB31" s="935"/>
      <c r="BC31" s="935"/>
      <c r="BD31" s="935"/>
      <c r="BE31" s="935"/>
      <c r="BF31" s="935"/>
      <c r="BG31" s="935"/>
      <c r="BH31" s="935"/>
      <c r="BI31" s="935"/>
      <c r="BJ31" s="935"/>
      <c r="BK31" s="935"/>
      <c r="BL31" s="935"/>
      <c r="BM31" s="935"/>
      <c r="BN31" s="935"/>
      <c r="BO31" s="935"/>
      <c r="BP31" s="935"/>
      <c r="BQ31" s="935"/>
      <c r="BR31" s="935"/>
      <c r="BS31" s="935"/>
      <c r="BT31" s="935"/>
    </row>
    <row r="32" spans="1:72" x14ac:dyDescent="0.25">
      <c r="A32" s="938" t="s">
        <v>573</v>
      </c>
      <c r="B32" s="939">
        <f t="shared" si="0"/>
        <v>1.03736526166104</v>
      </c>
      <c r="C32" s="939">
        <f t="shared" si="1"/>
        <v>1.0084486821562659</v>
      </c>
      <c r="D32" s="939">
        <f t="shared" si="2"/>
        <v>1.0010687685088917</v>
      </c>
      <c r="E32" s="1663"/>
      <c r="F32" s="1663"/>
      <c r="G32" s="1663"/>
      <c r="H32" s="1663"/>
      <c r="I32" s="1663"/>
      <c r="J32" s="942">
        <v>1993</v>
      </c>
      <c r="K32" s="943">
        <v>88.4</v>
      </c>
      <c r="L32" s="935"/>
      <c r="M32" s="935"/>
      <c r="N32" s="935"/>
      <c r="O32" s="935"/>
      <c r="P32" s="935"/>
      <c r="Q32" s="935"/>
      <c r="R32" s="935"/>
      <c r="S32" s="935"/>
      <c r="T32" s="935"/>
      <c r="U32" s="935"/>
      <c r="V32" s="935"/>
      <c r="W32" s="935"/>
      <c r="X32" s="935"/>
      <c r="Y32" s="935"/>
      <c r="Z32" s="935"/>
      <c r="AA32" s="935"/>
      <c r="AB32" s="935"/>
      <c r="AC32" s="935"/>
      <c r="AD32" s="935"/>
      <c r="AE32" s="935"/>
      <c r="AF32" s="935"/>
      <c r="AG32" s="935"/>
      <c r="AH32" s="935"/>
      <c r="AI32" s="935"/>
      <c r="AJ32" s="935"/>
      <c r="AK32" s="935"/>
      <c r="AL32" s="935"/>
      <c r="AM32" s="935"/>
      <c r="AN32" s="935"/>
      <c r="AO32" s="935"/>
      <c r="AP32" s="935"/>
      <c r="AQ32" s="935"/>
      <c r="AR32" s="935"/>
      <c r="AS32" s="935"/>
      <c r="AT32" s="935"/>
      <c r="AU32" s="935"/>
      <c r="AV32" s="935"/>
      <c r="AW32" s="935"/>
      <c r="AX32" s="935"/>
      <c r="AY32" s="935"/>
      <c r="AZ32" s="935"/>
      <c r="BA32" s="935"/>
      <c r="BB32" s="935"/>
      <c r="BC32" s="935"/>
      <c r="BD32" s="935"/>
      <c r="BE32" s="935"/>
      <c r="BF32" s="935"/>
      <c r="BG32" s="935"/>
      <c r="BH32" s="935"/>
      <c r="BI32" s="935"/>
      <c r="BJ32" s="935"/>
      <c r="BK32" s="935"/>
      <c r="BL32" s="935"/>
      <c r="BM32" s="935"/>
      <c r="BN32" s="935"/>
      <c r="BO32" s="935"/>
      <c r="BP32" s="935"/>
      <c r="BQ32" s="935"/>
      <c r="BR32" s="935"/>
      <c r="BS32" s="935"/>
      <c r="BT32" s="935"/>
    </row>
    <row r="33" spans="1:72" x14ac:dyDescent="0.25">
      <c r="A33" s="940" t="s">
        <v>574</v>
      </c>
      <c r="B33" s="941">
        <f t="shared" si="0"/>
        <v>0.975071533164794</v>
      </c>
      <c r="C33" s="941">
        <f t="shared" si="1"/>
        <v>1.0087393571750138</v>
      </c>
      <c r="D33" s="941">
        <f t="shared" si="2"/>
        <v>0.99663324890666094</v>
      </c>
      <c r="E33" s="1663"/>
      <c r="F33" s="1663"/>
      <c r="G33" s="1663"/>
      <c r="H33" s="1663"/>
      <c r="I33" s="1663"/>
      <c r="J33" s="944">
        <v>1994</v>
      </c>
      <c r="K33" s="945">
        <v>90.3</v>
      </c>
      <c r="L33" s="935"/>
      <c r="M33" s="935"/>
      <c r="N33" s="935"/>
      <c r="O33" s="935"/>
      <c r="P33" s="935"/>
      <c r="Q33" s="935"/>
      <c r="R33" s="935"/>
      <c r="S33" s="935"/>
      <c r="T33" s="935"/>
      <c r="U33" s="935"/>
      <c r="V33" s="935"/>
      <c r="W33" s="935"/>
      <c r="X33" s="935"/>
      <c r="Y33" s="935"/>
      <c r="Z33" s="935"/>
      <c r="AA33" s="935"/>
      <c r="AB33" s="935"/>
      <c r="AC33" s="935"/>
      <c r="AD33" s="935"/>
      <c r="AE33" s="935"/>
      <c r="AF33" s="935"/>
      <c r="AG33" s="935"/>
      <c r="AH33" s="935"/>
      <c r="AI33" s="935"/>
      <c r="AJ33" s="935"/>
      <c r="AK33" s="935"/>
      <c r="AL33" s="935"/>
      <c r="AM33" s="935"/>
      <c r="AN33" s="935"/>
      <c r="AO33" s="935"/>
      <c r="AP33" s="935"/>
      <c r="AQ33" s="935"/>
      <c r="AR33" s="935"/>
      <c r="AS33" s="935"/>
      <c r="AT33" s="935"/>
      <c r="AU33" s="935"/>
      <c r="AV33" s="935"/>
      <c r="AW33" s="935"/>
      <c r="AX33" s="935"/>
      <c r="AY33" s="935"/>
      <c r="AZ33" s="935"/>
      <c r="BA33" s="935"/>
      <c r="BB33" s="935"/>
      <c r="BC33" s="935"/>
      <c r="BD33" s="935"/>
      <c r="BE33" s="935"/>
      <c r="BF33" s="935"/>
      <c r="BG33" s="935"/>
      <c r="BH33" s="935"/>
      <c r="BI33" s="935"/>
      <c r="BJ33" s="935"/>
      <c r="BK33" s="935"/>
      <c r="BL33" s="935"/>
      <c r="BM33" s="935"/>
      <c r="BN33" s="935"/>
      <c r="BO33" s="935"/>
      <c r="BP33" s="935"/>
      <c r="BQ33" s="935"/>
      <c r="BR33" s="935"/>
      <c r="BS33" s="935"/>
      <c r="BT33" s="935"/>
    </row>
    <row r="34" spans="1:72" x14ac:dyDescent="0.25">
      <c r="A34" s="938" t="s">
        <v>575</v>
      </c>
      <c r="B34" s="939">
        <f t="shared" si="0"/>
        <v>1.0938371922267365</v>
      </c>
      <c r="C34" s="939">
        <f t="shared" si="1"/>
        <v>1.0852680569229392</v>
      </c>
      <c r="D34" s="939">
        <f t="shared" si="2"/>
        <v>1.0142672175626977</v>
      </c>
      <c r="E34" s="1663"/>
      <c r="F34" s="1663"/>
      <c r="G34" s="1663"/>
      <c r="H34" s="1663"/>
      <c r="I34" s="1663"/>
      <c r="J34" s="942">
        <v>1995</v>
      </c>
      <c r="K34" s="943">
        <v>92.1</v>
      </c>
      <c r="L34" s="935"/>
      <c r="M34" s="935"/>
      <c r="N34" s="935"/>
      <c r="O34" s="935"/>
      <c r="P34" s="935"/>
      <c r="Q34" s="935"/>
      <c r="R34" s="935"/>
      <c r="S34" s="935"/>
      <c r="T34" s="935"/>
      <c r="U34" s="935"/>
      <c r="V34" s="935"/>
      <c r="W34" s="935"/>
      <c r="X34" s="935"/>
      <c r="Y34" s="935"/>
      <c r="Z34" s="935"/>
      <c r="AA34" s="935"/>
      <c r="AB34" s="935"/>
      <c r="AC34" s="935"/>
      <c r="AD34" s="935"/>
      <c r="AE34" s="935"/>
      <c r="AF34" s="935"/>
      <c r="AG34" s="935"/>
      <c r="AH34" s="935"/>
      <c r="AI34" s="935"/>
      <c r="AJ34" s="935"/>
      <c r="AK34" s="935"/>
      <c r="AL34" s="935"/>
      <c r="AM34" s="935"/>
      <c r="AN34" s="935"/>
      <c r="AO34" s="935"/>
      <c r="AP34" s="935"/>
      <c r="AQ34" s="935"/>
      <c r="AR34" s="935"/>
      <c r="AS34" s="935"/>
      <c r="AT34" s="935"/>
      <c r="AU34" s="935"/>
      <c r="AV34" s="935"/>
      <c r="AW34" s="935"/>
      <c r="AX34" s="935"/>
      <c r="AY34" s="935"/>
      <c r="AZ34" s="935"/>
      <c r="BA34" s="935"/>
      <c r="BB34" s="935"/>
      <c r="BC34" s="935"/>
      <c r="BD34" s="935"/>
      <c r="BE34" s="935"/>
      <c r="BF34" s="935"/>
      <c r="BG34" s="935"/>
      <c r="BH34" s="935"/>
      <c r="BI34" s="935"/>
      <c r="BJ34" s="935"/>
      <c r="BK34" s="935"/>
      <c r="BL34" s="935"/>
      <c r="BM34" s="935"/>
      <c r="BN34" s="935"/>
      <c r="BO34" s="935"/>
      <c r="BP34" s="935"/>
      <c r="BQ34" s="935"/>
      <c r="BR34" s="935"/>
      <c r="BS34" s="935"/>
      <c r="BT34" s="935"/>
    </row>
    <row r="35" spans="1:72" x14ac:dyDescent="0.25">
      <c r="A35" s="940" t="s">
        <v>312</v>
      </c>
      <c r="B35" s="941">
        <f t="shared" si="0"/>
        <v>1.0046194107582356</v>
      </c>
      <c r="C35" s="941">
        <f t="shared" si="1"/>
        <v>1.003094645903579</v>
      </c>
      <c r="D35" s="941">
        <f t="shared" si="2"/>
        <v>0.99710816742279029</v>
      </c>
      <c r="E35" s="1663"/>
      <c r="F35" s="1663"/>
      <c r="G35" s="1663"/>
      <c r="H35" s="1663"/>
      <c r="I35" s="1663"/>
      <c r="J35" s="944">
        <v>1996</v>
      </c>
      <c r="K35" s="945">
        <v>93.9</v>
      </c>
      <c r="L35" s="935"/>
      <c r="M35" s="935"/>
      <c r="N35" s="935"/>
      <c r="O35" s="935"/>
      <c r="P35" s="935"/>
      <c r="Q35" s="935"/>
      <c r="R35" s="935"/>
      <c r="S35" s="935"/>
      <c r="T35" s="935"/>
      <c r="U35" s="935"/>
      <c r="V35" s="935"/>
      <c r="W35" s="935"/>
      <c r="X35" s="935"/>
      <c r="Y35" s="935"/>
      <c r="Z35" s="935"/>
      <c r="AA35" s="935"/>
      <c r="AB35" s="935"/>
      <c r="AC35" s="935"/>
      <c r="AD35" s="935"/>
      <c r="AE35" s="935"/>
      <c r="AF35" s="935"/>
      <c r="AG35" s="935"/>
      <c r="AH35" s="935"/>
      <c r="AI35" s="935"/>
      <c r="AJ35" s="935"/>
      <c r="AK35" s="935"/>
      <c r="AL35" s="935"/>
      <c r="AM35" s="935"/>
      <c r="AN35" s="935"/>
      <c r="AO35" s="935"/>
      <c r="AP35" s="935"/>
      <c r="AQ35" s="935"/>
      <c r="AR35" s="935"/>
      <c r="AS35" s="935"/>
      <c r="AT35" s="935"/>
      <c r="AU35" s="935"/>
      <c r="AV35" s="935"/>
      <c r="AW35" s="935"/>
      <c r="AX35" s="935"/>
      <c r="AY35" s="935"/>
      <c r="AZ35" s="935"/>
      <c r="BA35" s="935"/>
      <c r="BB35" s="935"/>
      <c r="BC35" s="935"/>
      <c r="BD35" s="935"/>
      <c r="BE35" s="935"/>
      <c r="BF35" s="935"/>
      <c r="BG35" s="935"/>
      <c r="BH35" s="935"/>
      <c r="BI35" s="935"/>
      <c r="BJ35" s="935"/>
      <c r="BK35" s="935"/>
      <c r="BL35" s="935"/>
      <c r="BM35" s="935"/>
      <c r="BN35" s="935"/>
      <c r="BO35" s="935"/>
      <c r="BP35" s="935"/>
      <c r="BQ35" s="935"/>
      <c r="BR35" s="935"/>
      <c r="BS35" s="935"/>
      <c r="BT35" s="935"/>
    </row>
    <row r="36" spans="1:72" x14ac:dyDescent="0.25">
      <c r="A36" s="1667"/>
      <c r="B36" s="1668"/>
      <c r="C36" s="1668"/>
      <c r="D36" s="1668"/>
      <c r="E36" s="1663"/>
      <c r="F36" s="1663"/>
      <c r="G36" s="1663"/>
      <c r="H36" s="1663"/>
      <c r="I36" s="1663"/>
      <c r="J36" s="942">
        <v>1997</v>
      </c>
      <c r="K36" s="943">
        <v>95.4</v>
      </c>
      <c r="L36" s="935"/>
      <c r="M36" s="935"/>
      <c r="N36" s="935"/>
      <c r="O36" s="935"/>
      <c r="P36" s="935"/>
      <c r="Q36" s="935"/>
      <c r="R36" s="935"/>
      <c r="S36" s="935"/>
      <c r="T36" s="935"/>
      <c r="U36" s="935"/>
      <c r="V36" s="935"/>
      <c r="W36" s="935"/>
      <c r="X36" s="935"/>
      <c r="Y36" s="935"/>
      <c r="Z36" s="935"/>
      <c r="AA36" s="935"/>
      <c r="AB36" s="935"/>
      <c r="AC36" s="935"/>
      <c r="AD36" s="935"/>
      <c r="AE36" s="935"/>
      <c r="AF36" s="935"/>
      <c r="AG36" s="935"/>
      <c r="AH36" s="935"/>
      <c r="AI36" s="935"/>
      <c r="AJ36" s="935"/>
      <c r="AK36" s="935"/>
      <c r="AL36" s="935"/>
      <c r="AM36" s="935"/>
      <c r="AN36" s="935"/>
      <c r="AO36" s="935"/>
      <c r="AP36" s="935"/>
      <c r="AQ36" s="935"/>
      <c r="AR36" s="935"/>
      <c r="AS36" s="935"/>
      <c r="AT36" s="935"/>
      <c r="AU36" s="935"/>
      <c r="AV36" s="935"/>
      <c r="AW36" s="935"/>
      <c r="AX36" s="935"/>
      <c r="AY36" s="935"/>
      <c r="AZ36" s="935"/>
      <c r="BA36" s="935"/>
      <c r="BB36" s="935"/>
      <c r="BC36" s="935"/>
      <c r="BD36" s="935"/>
      <c r="BE36" s="935"/>
      <c r="BF36" s="935"/>
      <c r="BG36" s="935"/>
      <c r="BH36" s="935"/>
      <c r="BI36" s="935"/>
      <c r="BJ36" s="935"/>
      <c r="BK36" s="935"/>
      <c r="BL36" s="935"/>
      <c r="BM36" s="935"/>
      <c r="BN36" s="935"/>
      <c r="BO36" s="935"/>
      <c r="BP36" s="935"/>
      <c r="BQ36" s="935"/>
      <c r="BR36" s="935"/>
      <c r="BS36" s="935"/>
      <c r="BT36" s="935"/>
    </row>
    <row r="37" spans="1:72" x14ac:dyDescent="0.25">
      <c r="A37" s="1667"/>
      <c r="B37" s="1668"/>
      <c r="C37" s="1668"/>
      <c r="D37" s="1668"/>
      <c r="E37" s="1663"/>
      <c r="F37" s="1663"/>
      <c r="G37" s="1663"/>
      <c r="H37" s="1663"/>
      <c r="I37" s="1663"/>
      <c r="J37" s="944">
        <v>1998</v>
      </c>
      <c r="K37" s="945">
        <v>96.5</v>
      </c>
      <c r="L37" s="935"/>
      <c r="M37" s="935"/>
      <c r="N37" s="935"/>
      <c r="O37" s="935"/>
      <c r="P37" s="935"/>
      <c r="Q37" s="935"/>
      <c r="R37" s="935"/>
      <c r="S37" s="935"/>
      <c r="T37" s="935"/>
      <c r="U37" s="935"/>
      <c r="V37" s="935"/>
      <c r="W37" s="935"/>
      <c r="X37" s="935"/>
      <c r="Y37" s="935"/>
      <c r="Z37" s="935"/>
      <c r="AA37" s="935"/>
      <c r="AB37" s="935"/>
      <c r="AC37" s="935"/>
      <c r="AD37" s="935"/>
      <c r="AE37" s="935"/>
      <c r="AF37" s="935"/>
      <c r="AG37" s="935"/>
      <c r="AH37" s="935"/>
      <c r="AI37" s="935"/>
      <c r="AJ37" s="935"/>
      <c r="AK37" s="935"/>
      <c r="AL37" s="935"/>
      <c r="AM37" s="935"/>
      <c r="AN37" s="935"/>
      <c r="AO37" s="935"/>
      <c r="AP37" s="935"/>
      <c r="AQ37" s="935"/>
      <c r="AR37" s="935"/>
      <c r="AS37" s="935"/>
      <c r="AT37" s="935"/>
      <c r="AU37" s="935"/>
      <c r="AV37" s="935"/>
      <c r="AW37" s="935"/>
      <c r="AX37" s="935"/>
      <c r="AY37" s="935"/>
      <c r="AZ37" s="935"/>
      <c r="BA37" s="935"/>
      <c r="BB37" s="935"/>
      <c r="BC37" s="935"/>
      <c r="BD37" s="935"/>
      <c r="BE37" s="935"/>
      <c r="BF37" s="935"/>
      <c r="BG37" s="935"/>
      <c r="BH37" s="935"/>
      <c r="BI37" s="935"/>
      <c r="BJ37" s="935"/>
      <c r="BK37" s="935"/>
      <c r="BL37" s="935"/>
      <c r="BM37" s="935"/>
      <c r="BN37" s="935"/>
      <c r="BO37" s="935"/>
      <c r="BP37" s="935"/>
      <c r="BQ37" s="935"/>
      <c r="BR37" s="935"/>
      <c r="BS37" s="935"/>
      <c r="BT37" s="935"/>
    </row>
    <row r="38" spans="1:72" ht="13" x14ac:dyDescent="0.3">
      <c r="A38" s="1672" t="s">
        <v>577</v>
      </c>
      <c r="B38" s="1673"/>
      <c r="C38" s="946" t="s">
        <v>578</v>
      </c>
      <c r="D38" s="946" t="s">
        <v>578</v>
      </c>
      <c r="E38" s="1673" t="s">
        <v>1115</v>
      </c>
      <c r="F38" s="1673"/>
      <c r="G38" s="1673"/>
      <c r="H38" s="1673"/>
      <c r="I38" s="1673"/>
      <c r="J38" s="942">
        <v>1999</v>
      </c>
      <c r="K38" s="943">
        <v>97.9</v>
      </c>
      <c r="L38" s="935"/>
      <c r="M38" s="935"/>
      <c r="N38" s="935"/>
      <c r="O38" s="935"/>
      <c r="P38" s="935"/>
      <c r="Q38" s="935"/>
      <c r="R38" s="935"/>
      <c r="S38" s="935"/>
      <c r="T38" s="935"/>
      <c r="U38" s="935"/>
      <c r="V38" s="935"/>
      <c r="W38" s="935"/>
      <c r="X38" s="935"/>
      <c r="Y38" s="935"/>
      <c r="Z38" s="935"/>
      <c r="AA38" s="935"/>
      <c r="AB38" s="935"/>
      <c r="AC38" s="935"/>
      <c r="AD38" s="935"/>
      <c r="AE38" s="935"/>
      <c r="AF38" s="935"/>
      <c r="AG38" s="935"/>
      <c r="AH38" s="935"/>
      <c r="AI38" s="935"/>
      <c r="AJ38" s="935"/>
      <c r="AK38" s="935"/>
      <c r="AL38" s="935"/>
      <c r="AM38" s="935"/>
      <c r="AN38" s="935"/>
      <c r="AO38" s="935"/>
      <c r="AP38" s="935"/>
      <c r="AQ38" s="935"/>
      <c r="AR38" s="935"/>
      <c r="AS38" s="935"/>
      <c r="AT38" s="935"/>
      <c r="AU38" s="935"/>
      <c r="AV38" s="935"/>
      <c r="AW38" s="935"/>
      <c r="AX38" s="935"/>
      <c r="AY38" s="935"/>
      <c r="AZ38" s="935"/>
      <c r="BA38" s="935"/>
      <c r="BB38" s="935"/>
      <c r="BC38" s="935"/>
      <c r="BD38" s="935"/>
      <c r="BE38" s="935"/>
      <c r="BF38" s="935"/>
      <c r="BG38" s="935"/>
      <c r="BH38" s="935"/>
      <c r="BI38" s="935"/>
      <c r="BJ38" s="935"/>
      <c r="BK38" s="935"/>
      <c r="BL38" s="935"/>
      <c r="BM38" s="935"/>
      <c r="BN38" s="935"/>
      <c r="BO38" s="935"/>
      <c r="BP38" s="935"/>
      <c r="BQ38" s="935"/>
      <c r="BR38" s="935"/>
      <c r="BS38" s="935"/>
      <c r="BT38" s="935"/>
    </row>
    <row r="39" spans="1:72" ht="13" x14ac:dyDescent="0.3">
      <c r="A39" s="940"/>
      <c r="B39" s="889" t="s">
        <v>1049</v>
      </c>
      <c r="C39" s="944">
        <v>2000</v>
      </c>
      <c r="D39" s="944">
        <v>2005</v>
      </c>
      <c r="E39" s="944">
        <v>2020</v>
      </c>
      <c r="F39" s="944">
        <v>2035</v>
      </c>
      <c r="G39" s="944">
        <v>2050</v>
      </c>
      <c r="H39" s="944">
        <v>2065</v>
      </c>
      <c r="I39" s="944">
        <v>2070</v>
      </c>
      <c r="J39" s="944">
        <v>2000</v>
      </c>
      <c r="K39" s="945">
        <v>100</v>
      </c>
      <c r="L39" s="935"/>
      <c r="M39" s="935"/>
      <c r="N39" s="935"/>
      <c r="O39" s="935"/>
      <c r="P39" s="935"/>
      <c r="Q39" s="935"/>
      <c r="R39" s="935"/>
      <c r="S39" s="935"/>
      <c r="T39" s="935"/>
      <c r="U39" s="935"/>
      <c r="V39" s="935"/>
      <c r="W39" s="935"/>
      <c r="X39" s="935"/>
      <c r="Y39" s="935"/>
      <c r="Z39" s="935"/>
      <c r="AA39" s="935"/>
      <c r="AB39" s="935"/>
      <c r="AC39" s="935"/>
      <c r="AD39" s="935"/>
      <c r="AE39" s="935"/>
      <c r="AF39" s="935"/>
      <c r="AG39" s="935"/>
      <c r="AH39" s="935"/>
      <c r="AI39" s="935"/>
      <c r="AJ39" s="935"/>
      <c r="AK39" s="935"/>
      <c r="AL39" s="935"/>
      <c r="AM39" s="935"/>
      <c r="AN39" s="935"/>
      <c r="AO39" s="935"/>
      <c r="AP39" s="935"/>
      <c r="AQ39" s="935"/>
      <c r="AR39" s="935"/>
      <c r="AS39" s="935"/>
      <c r="AT39" s="935"/>
      <c r="AU39" s="935"/>
      <c r="AV39" s="935"/>
      <c r="AW39" s="935"/>
      <c r="AX39" s="935"/>
      <c r="AY39" s="935"/>
      <c r="AZ39" s="935"/>
      <c r="BA39" s="935"/>
      <c r="BB39" s="935"/>
      <c r="BC39" s="935"/>
      <c r="BD39" s="935"/>
      <c r="BE39" s="935"/>
      <c r="BF39" s="935"/>
      <c r="BG39" s="935"/>
      <c r="BH39" s="935"/>
      <c r="BI39" s="935"/>
      <c r="BJ39" s="935"/>
      <c r="BK39" s="935"/>
      <c r="BL39" s="935"/>
      <c r="BM39" s="935"/>
      <c r="BN39" s="935"/>
      <c r="BO39" s="935"/>
      <c r="BP39" s="935"/>
      <c r="BQ39" s="935"/>
      <c r="BR39" s="935"/>
      <c r="BS39" s="935"/>
      <c r="BT39" s="935"/>
    </row>
    <row r="40" spans="1:72" x14ac:dyDescent="0.25">
      <c r="A40" s="938" t="s">
        <v>569</v>
      </c>
      <c r="B40" s="947" t="s">
        <v>579</v>
      </c>
      <c r="C40" s="942">
        <v>25.276500000000002</v>
      </c>
      <c r="D40" s="942">
        <v>25.071000000000002</v>
      </c>
      <c r="E40" s="942">
        <v>49.911552427759986</v>
      </c>
      <c r="F40" s="942">
        <v>51.73380738099187</v>
      </c>
      <c r="G40" s="942">
        <v>54.228868079187265</v>
      </c>
      <c r="H40" s="942">
        <v>57.083559627090274</v>
      </c>
      <c r="I40" s="942">
        <v>57.998580810871225</v>
      </c>
      <c r="J40" s="942">
        <v>2001</v>
      </c>
      <c r="K40" s="943">
        <v>102.4</v>
      </c>
      <c r="L40" s="935"/>
      <c r="M40" s="935"/>
      <c r="N40" s="935"/>
      <c r="O40" s="935"/>
      <c r="P40" s="935"/>
      <c r="Q40" s="935"/>
      <c r="R40" s="935"/>
      <c r="S40" s="935"/>
      <c r="T40" s="935"/>
      <c r="U40" s="935"/>
      <c r="V40" s="935"/>
      <c r="W40" s="935"/>
      <c r="X40" s="935"/>
      <c r="Y40" s="935"/>
      <c r="Z40" s="935"/>
      <c r="AA40" s="935"/>
      <c r="AB40" s="935"/>
      <c r="AC40" s="935"/>
      <c r="AD40" s="935"/>
      <c r="AE40" s="935"/>
      <c r="AF40" s="935"/>
      <c r="AG40" s="935"/>
      <c r="AH40" s="935"/>
      <c r="AI40" s="935"/>
      <c r="AJ40" s="935"/>
      <c r="AK40" s="935"/>
      <c r="AL40" s="935"/>
      <c r="AM40" s="935"/>
      <c r="AN40" s="935"/>
      <c r="AO40" s="935"/>
      <c r="AP40" s="935"/>
      <c r="AQ40" s="935"/>
      <c r="AR40" s="935"/>
      <c r="AS40" s="935"/>
      <c r="AT40" s="935"/>
      <c r="AU40" s="935"/>
      <c r="AV40" s="935"/>
      <c r="AW40" s="935"/>
      <c r="AX40" s="935"/>
      <c r="AY40" s="935"/>
      <c r="AZ40" s="935"/>
      <c r="BA40" s="935"/>
      <c r="BB40" s="935"/>
      <c r="BC40" s="935"/>
      <c r="BD40" s="935"/>
      <c r="BE40" s="935"/>
      <c r="BF40" s="935"/>
      <c r="BG40" s="935"/>
      <c r="BH40" s="935"/>
      <c r="BI40" s="935"/>
      <c r="BJ40" s="935"/>
      <c r="BK40" s="935"/>
      <c r="BL40" s="935"/>
      <c r="BM40" s="935"/>
      <c r="BN40" s="935"/>
      <c r="BO40" s="935"/>
      <c r="BP40" s="935"/>
      <c r="BQ40" s="935"/>
      <c r="BR40" s="935"/>
      <c r="BS40" s="935"/>
      <c r="BT40" s="935"/>
    </row>
    <row r="41" spans="1:72" x14ac:dyDescent="0.25">
      <c r="A41" s="940" t="s">
        <v>570</v>
      </c>
      <c r="B41" s="948" t="s">
        <v>580</v>
      </c>
      <c r="C41" s="944">
        <v>3.83</v>
      </c>
      <c r="D41" s="944">
        <v>2.88</v>
      </c>
      <c r="E41" s="944">
        <v>3.4820792312666162</v>
      </c>
      <c r="F41" s="944">
        <v>3.718467288972283</v>
      </c>
      <c r="G41" s="944">
        <v>4.254403392012021</v>
      </c>
      <c r="H41" s="944">
        <v>4.8331418485312492</v>
      </c>
      <c r="I41" s="944">
        <v>5.0085938618348607</v>
      </c>
      <c r="J41" s="944">
        <v>2002</v>
      </c>
      <c r="K41" s="945">
        <v>104.1</v>
      </c>
      <c r="L41" s="935"/>
      <c r="M41" s="935"/>
      <c r="N41" s="935"/>
      <c r="O41" s="935"/>
      <c r="P41" s="935"/>
      <c r="Q41" s="935"/>
      <c r="R41" s="935"/>
      <c r="S41" s="935"/>
      <c r="T41" s="935"/>
      <c r="U41" s="935"/>
      <c r="V41" s="935"/>
      <c r="W41" s="935"/>
      <c r="X41" s="935"/>
      <c r="Y41" s="935"/>
      <c r="Z41" s="935"/>
      <c r="AA41" s="935"/>
      <c r="AB41" s="935"/>
      <c r="AC41" s="935"/>
      <c r="AD41" s="935"/>
      <c r="AE41" s="935"/>
      <c r="AF41" s="935"/>
      <c r="AG41" s="935"/>
      <c r="AH41" s="935"/>
      <c r="AI41" s="935"/>
      <c r="AJ41" s="935"/>
      <c r="AK41" s="935"/>
      <c r="AL41" s="935"/>
      <c r="AM41" s="935"/>
      <c r="AN41" s="935"/>
      <c r="AO41" s="935"/>
      <c r="AP41" s="935"/>
      <c r="AQ41" s="935"/>
      <c r="AR41" s="935"/>
      <c r="AS41" s="935"/>
      <c r="AT41" s="935"/>
      <c r="AU41" s="935"/>
      <c r="AV41" s="935"/>
      <c r="AW41" s="935"/>
      <c r="AX41" s="935"/>
      <c r="AY41" s="935"/>
      <c r="AZ41" s="935"/>
      <c r="BA41" s="935"/>
      <c r="BB41" s="935"/>
      <c r="BC41" s="935"/>
      <c r="BD41" s="935"/>
      <c r="BE41" s="935"/>
      <c r="BF41" s="935"/>
      <c r="BG41" s="935"/>
      <c r="BH41" s="935"/>
      <c r="BI41" s="935"/>
      <c r="BJ41" s="935"/>
      <c r="BK41" s="935"/>
      <c r="BL41" s="935"/>
      <c r="BM41" s="935"/>
      <c r="BN41" s="935"/>
      <c r="BO41" s="935"/>
      <c r="BP41" s="935"/>
      <c r="BQ41" s="935"/>
      <c r="BR41" s="935"/>
      <c r="BS41" s="935"/>
      <c r="BT41" s="935"/>
    </row>
    <row r="42" spans="1:72" x14ac:dyDescent="0.25">
      <c r="A42" s="938" t="s">
        <v>571</v>
      </c>
      <c r="B42" s="947" t="s">
        <v>580</v>
      </c>
      <c r="C42" s="942">
        <v>4.333333333333333</v>
      </c>
      <c r="D42" s="942">
        <v>3.2058823529411766</v>
      </c>
      <c r="E42" s="942">
        <v>5.3135477999345282</v>
      </c>
      <c r="F42" s="942">
        <v>5.6703709369749671</v>
      </c>
      <c r="G42" s="942">
        <v>6.3804589018936815</v>
      </c>
      <c r="H42" s="942">
        <v>7.1603102550975084</v>
      </c>
      <c r="I42" s="942">
        <v>7.3649472464330987</v>
      </c>
      <c r="J42" s="942">
        <v>2003</v>
      </c>
      <c r="K42" s="943">
        <v>106</v>
      </c>
      <c r="L42" s="935"/>
      <c r="M42" s="935"/>
      <c r="N42" s="935"/>
      <c r="O42" s="935"/>
      <c r="P42" s="935"/>
      <c r="Q42" s="935"/>
      <c r="R42" s="935"/>
      <c r="S42" s="935"/>
      <c r="T42" s="935"/>
      <c r="U42" s="935"/>
      <c r="V42" s="935"/>
      <c r="W42" s="935"/>
      <c r="X42" s="935"/>
      <c r="Y42" s="935"/>
      <c r="Z42" s="935"/>
      <c r="AA42" s="935"/>
      <c r="AB42" s="935"/>
      <c r="AC42" s="935"/>
      <c r="AD42" s="935"/>
      <c r="AE42" s="935"/>
      <c r="AF42" s="935"/>
      <c r="AG42" s="935"/>
      <c r="AH42" s="935"/>
      <c r="AI42" s="935"/>
      <c r="AJ42" s="935"/>
      <c r="AK42" s="935"/>
      <c r="AL42" s="935"/>
      <c r="AM42" s="935"/>
      <c r="AN42" s="935"/>
      <c r="AO42" s="935"/>
      <c r="AP42" s="935"/>
      <c r="AQ42" s="935"/>
      <c r="AR42" s="935"/>
      <c r="AS42" s="935"/>
      <c r="AT42" s="935"/>
      <c r="AU42" s="935"/>
      <c r="AV42" s="935"/>
      <c r="AW42" s="935"/>
      <c r="AX42" s="935"/>
      <c r="AY42" s="935"/>
      <c r="AZ42" s="935"/>
      <c r="BA42" s="935"/>
      <c r="BB42" s="935"/>
      <c r="BC42" s="935"/>
      <c r="BD42" s="935"/>
      <c r="BE42" s="935"/>
      <c r="BF42" s="935"/>
      <c r="BG42" s="935"/>
      <c r="BH42" s="935"/>
      <c r="BI42" s="935"/>
      <c r="BJ42" s="935"/>
      <c r="BK42" s="935"/>
      <c r="BL42" s="935"/>
      <c r="BM42" s="935"/>
      <c r="BN42" s="935"/>
      <c r="BO42" s="935"/>
      <c r="BP42" s="935"/>
      <c r="BQ42" s="935"/>
      <c r="BR42" s="935"/>
      <c r="BS42" s="935"/>
      <c r="BT42" s="935"/>
    </row>
    <row r="43" spans="1:72" ht="13" x14ac:dyDescent="0.3">
      <c r="A43" s="940" t="s">
        <v>572</v>
      </c>
      <c r="B43" s="948" t="s">
        <v>581</v>
      </c>
      <c r="C43" s="944">
        <v>28.35</v>
      </c>
      <c r="D43" s="944">
        <v>23.27</v>
      </c>
      <c r="E43" s="944">
        <v>38.166254666132858</v>
      </c>
      <c r="F43" s="944">
        <v>44.018296607182357</v>
      </c>
      <c r="G43" s="944">
        <v>47.046046898954408</v>
      </c>
      <c r="H43" s="944">
        <v>48.050792851691</v>
      </c>
      <c r="I43" s="944">
        <v>48.201553003292787</v>
      </c>
      <c r="J43" s="944">
        <v>2004</v>
      </c>
      <c r="K43" s="949">
        <v>108.3</v>
      </c>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D43" s="935"/>
      <c r="BE43" s="935"/>
      <c r="BF43" s="935"/>
      <c r="BG43" s="935"/>
      <c r="BH43" s="935"/>
      <c r="BI43" s="935"/>
      <c r="BJ43" s="935"/>
      <c r="BK43" s="935"/>
      <c r="BL43" s="935"/>
      <c r="BM43" s="935"/>
      <c r="BN43" s="935"/>
      <c r="BO43" s="935"/>
      <c r="BP43" s="935"/>
      <c r="BQ43" s="935"/>
      <c r="BR43" s="935"/>
      <c r="BS43" s="935"/>
      <c r="BT43" s="935"/>
    </row>
    <row r="44" spans="1:72" ht="13" x14ac:dyDescent="0.3">
      <c r="A44" s="938" t="s">
        <v>573</v>
      </c>
      <c r="B44" s="947" t="s">
        <v>582</v>
      </c>
      <c r="C44" s="942">
        <v>1.5176666666666667</v>
      </c>
      <c r="D44" s="942">
        <v>1.2925714285714285</v>
      </c>
      <c r="E44" s="942">
        <v>1.9428327208531595</v>
      </c>
      <c r="F44" s="942">
        <v>2.1262391061548653</v>
      </c>
      <c r="G44" s="942">
        <v>2.2056865867102777</v>
      </c>
      <c r="H44" s="942">
        <v>2.2243217316177319</v>
      </c>
      <c r="I44" s="942">
        <v>2.2266990166381286</v>
      </c>
      <c r="J44" s="942">
        <v>2005</v>
      </c>
      <c r="K44" s="950">
        <v>110.5</v>
      </c>
      <c r="L44" s="935"/>
      <c r="M44" s="935"/>
      <c r="N44" s="935"/>
      <c r="O44" s="935"/>
      <c r="P44" s="935"/>
      <c r="Q44" s="935"/>
      <c r="R44" s="935"/>
      <c r="S44" s="935"/>
      <c r="T44" s="935"/>
      <c r="U44" s="935"/>
      <c r="V44" s="935"/>
      <c r="W44" s="935"/>
      <c r="X44" s="935"/>
      <c r="Y44" s="935"/>
      <c r="Z44" s="935"/>
      <c r="AA44" s="935"/>
      <c r="AB44" s="935"/>
      <c r="AC44" s="935"/>
      <c r="AD44" s="935"/>
      <c r="AE44" s="935"/>
      <c r="AF44" s="935"/>
      <c r="AG44" s="935"/>
      <c r="AH44" s="935"/>
      <c r="AI44" s="935"/>
      <c r="AJ44" s="935"/>
      <c r="AK44" s="935"/>
      <c r="AL44" s="935"/>
      <c r="AM44" s="935"/>
      <c r="AN44" s="935"/>
      <c r="AO44" s="935"/>
      <c r="AP44" s="935"/>
      <c r="AQ44" s="935"/>
      <c r="AR44" s="935"/>
      <c r="AS44" s="935"/>
      <c r="AT44" s="935"/>
      <c r="AU44" s="935"/>
      <c r="AV44" s="935"/>
      <c r="AW44" s="935"/>
      <c r="AX44" s="935"/>
      <c r="AY44" s="935"/>
      <c r="AZ44" s="935"/>
      <c r="BA44" s="935"/>
      <c r="BB44" s="935"/>
      <c r="BC44" s="935"/>
      <c r="BD44" s="935"/>
      <c r="BE44" s="935"/>
      <c r="BF44" s="935"/>
      <c r="BG44" s="935"/>
      <c r="BH44" s="935"/>
      <c r="BI44" s="935"/>
      <c r="BJ44" s="935"/>
      <c r="BK44" s="935"/>
      <c r="BL44" s="935"/>
      <c r="BM44" s="935"/>
      <c r="BN44" s="935"/>
      <c r="BO44" s="935"/>
      <c r="BP44" s="935"/>
      <c r="BQ44" s="935"/>
      <c r="BR44" s="935"/>
      <c r="BS44" s="935"/>
      <c r="BT44" s="935"/>
    </row>
    <row r="45" spans="1:72" x14ac:dyDescent="0.25">
      <c r="A45" s="940" t="s">
        <v>574</v>
      </c>
      <c r="B45" s="948" t="s">
        <v>583</v>
      </c>
      <c r="C45" s="944">
        <v>6.9</v>
      </c>
      <c r="D45" s="944">
        <v>6.4</v>
      </c>
      <c r="E45" s="944">
        <v>7.2674708046079139</v>
      </c>
      <c r="F45" s="944">
        <v>7.0885496188632935</v>
      </c>
      <c r="G45" s="944">
        <v>6.9118429447797478</v>
      </c>
      <c r="H45" s="944">
        <v>6.9722480090117775</v>
      </c>
      <c r="I45" s="944">
        <v>6.9487741854044058</v>
      </c>
      <c r="J45" s="1674" t="s">
        <v>761</v>
      </c>
      <c r="K45" s="1675"/>
      <c r="L45" s="935"/>
      <c r="M45" s="935"/>
      <c r="N45" s="935"/>
      <c r="O45" s="935"/>
      <c r="P45" s="935"/>
      <c r="Q45" s="935"/>
      <c r="R45" s="935"/>
      <c r="S45" s="935"/>
      <c r="T45" s="935"/>
      <c r="U45" s="935"/>
      <c r="V45" s="935"/>
      <c r="W45" s="935"/>
      <c r="X45" s="935"/>
      <c r="Y45" s="935"/>
      <c r="Z45" s="935"/>
      <c r="AA45" s="935"/>
      <c r="AB45" s="935"/>
      <c r="AC45" s="935"/>
      <c r="AD45" s="935"/>
      <c r="AE45" s="935"/>
      <c r="AF45" s="935"/>
      <c r="AG45" s="935"/>
      <c r="AH45" s="935"/>
      <c r="AI45" s="935"/>
      <c r="AJ45" s="935"/>
      <c r="AK45" s="935"/>
      <c r="AL45" s="935"/>
      <c r="AM45" s="935"/>
      <c r="AN45" s="935"/>
      <c r="AO45" s="935"/>
      <c r="AP45" s="935"/>
      <c r="AQ45" s="935"/>
      <c r="AR45" s="935"/>
      <c r="AS45" s="935"/>
      <c r="AT45" s="935"/>
      <c r="AU45" s="935"/>
      <c r="AV45" s="935"/>
      <c r="AW45" s="935"/>
      <c r="AX45" s="935"/>
      <c r="AY45" s="935"/>
      <c r="AZ45" s="935"/>
      <c r="BA45" s="935"/>
      <c r="BB45" s="935"/>
      <c r="BC45" s="935"/>
      <c r="BD45" s="935"/>
      <c r="BE45" s="935"/>
      <c r="BF45" s="935"/>
      <c r="BG45" s="935"/>
      <c r="BH45" s="935"/>
      <c r="BI45" s="935"/>
      <c r="BJ45" s="935"/>
      <c r="BK45" s="935"/>
      <c r="BL45" s="935"/>
      <c r="BM45" s="935"/>
      <c r="BN45" s="935"/>
      <c r="BO45" s="935"/>
      <c r="BP45" s="935"/>
      <c r="BQ45" s="935"/>
      <c r="BR45" s="935"/>
      <c r="BS45" s="935"/>
      <c r="BT45" s="935"/>
    </row>
    <row r="46" spans="1:72" x14ac:dyDescent="0.25">
      <c r="A46" s="938" t="s">
        <v>575</v>
      </c>
      <c r="B46" s="947" t="s">
        <v>584</v>
      </c>
      <c r="C46" s="942"/>
      <c r="D46" s="942"/>
      <c r="E46" s="942">
        <v>3.9267286033597717</v>
      </c>
      <c r="F46" s="942">
        <v>3.4025762910602637</v>
      </c>
      <c r="G46" s="942">
        <v>3.7218644965506216</v>
      </c>
      <c r="H46" s="942">
        <v>4.0392206503019663</v>
      </c>
      <c r="I46" s="942">
        <v>4.0968490901035652</v>
      </c>
      <c r="J46" s="1674"/>
      <c r="K46" s="1675"/>
      <c r="L46" s="935"/>
      <c r="M46" s="935"/>
      <c r="N46" s="935"/>
      <c r="O46" s="935"/>
      <c r="P46" s="935"/>
      <c r="Q46" s="935"/>
      <c r="R46" s="935"/>
      <c r="S46" s="935"/>
      <c r="T46" s="935"/>
      <c r="U46" s="935"/>
      <c r="V46" s="935"/>
      <c r="W46" s="935"/>
      <c r="X46" s="935"/>
      <c r="Y46" s="935"/>
      <c r="Z46" s="935"/>
      <c r="AA46" s="935"/>
      <c r="AB46" s="935"/>
      <c r="AC46" s="935"/>
      <c r="AD46" s="935"/>
      <c r="AE46" s="935"/>
      <c r="AF46" s="935"/>
      <c r="AG46" s="935"/>
      <c r="AH46" s="935"/>
      <c r="AI46" s="935"/>
      <c r="AJ46" s="935"/>
      <c r="AK46" s="935"/>
      <c r="AL46" s="935"/>
      <c r="AM46" s="935"/>
      <c r="AN46" s="935"/>
      <c r="AO46" s="935"/>
      <c r="AP46" s="935"/>
      <c r="AQ46" s="935"/>
      <c r="AR46" s="935"/>
      <c r="AS46" s="935"/>
      <c r="AT46" s="935"/>
      <c r="AU46" s="935"/>
      <c r="AV46" s="935"/>
      <c r="AW46" s="935"/>
      <c r="AX46" s="935"/>
      <c r="AY46" s="935"/>
      <c r="AZ46" s="935"/>
      <c r="BA46" s="935"/>
      <c r="BB46" s="935"/>
      <c r="BC46" s="935"/>
      <c r="BD46" s="935"/>
      <c r="BE46" s="935"/>
      <c r="BF46" s="935"/>
      <c r="BG46" s="935"/>
      <c r="BH46" s="935"/>
      <c r="BI46" s="935"/>
      <c r="BJ46" s="935"/>
      <c r="BK46" s="935"/>
      <c r="BL46" s="935"/>
      <c r="BM46" s="935"/>
      <c r="BN46" s="935"/>
      <c r="BO46" s="935"/>
      <c r="BP46" s="935"/>
      <c r="BQ46" s="935"/>
      <c r="BR46" s="935"/>
      <c r="BS46" s="935"/>
      <c r="BT46" s="935"/>
    </row>
    <row r="47" spans="1:72" x14ac:dyDescent="0.25">
      <c r="A47" s="940" t="s">
        <v>312</v>
      </c>
      <c r="B47" s="948" t="s">
        <v>584</v>
      </c>
      <c r="C47" s="944"/>
      <c r="D47" s="944"/>
      <c r="E47" s="944">
        <v>24.686324737923844</v>
      </c>
      <c r="F47" s="944">
        <v>23.090083577893328</v>
      </c>
      <c r="G47" s="944">
        <v>23.196746158381607</v>
      </c>
      <c r="H47" s="944">
        <v>23.268531873857007</v>
      </c>
      <c r="I47" s="944">
        <v>23.201243175360347</v>
      </c>
      <c r="J47" s="1674"/>
      <c r="K47" s="1675"/>
      <c r="L47" s="935"/>
      <c r="M47" s="935"/>
      <c r="N47" s="935"/>
      <c r="O47" s="935"/>
      <c r="P47" s="935"/>
      <c r="Q47" s="935"/>
      <c r="R47" s="935"/>
      <c r="S47" s="935"/>
      <c r="T47" s="935"/>
      <c r="U47" s="935"/>
      <c r="V47" s="935"/>
      <c r="W47" s="935"/>
      <c r="X47" s="935"/>
      <c r="Y47" s="935"/>
      <c r="Z47" s="935"/>
      <c r="AA47" s="935"/>
      <c r="AB47" s="935"/>
      <c r="AC47" s="935"/>
      <c r="AD47" s="935"/>
      <c r="AE47" s="935"/>
      <c r="AF47" s="935"/>
      <c r="AG47" s="935"/>
      <c r="AH47" s="935"/>
      <c r="AI47" s="935"/>
      <c r="AJ47" s="935"/>
      <c r="AK47" s="935"/>
      <c r="AL47" s="935"/>
      <c r="AM47" s="935"/>
      <c r="AN47" s="935"/>
      <c r="AO47" s="935"/>
      <c r="AP47" s="935"/>
      <c r="AQ47" s="935"/>
      <c r="AR47" s="935"/>
      <c r="AS47" s="935"/>
      <c r="AT47" s="935"/>
      <c r="AU47" s="935"/>
      <c r="AV47" s="935"/>
      <c r="AW47" s="935"/>
      <c r="AX47" s="935"/>
      <c r="AY47" s="935"/>
      <c r="AZ47" s="935"/>
      <c r="BA47" s="935"/>
      <c r="BB47" s="935"/>
      <c r="BC47" s="935"/>
      <c r="BD47" s="935"/>
      <c r="BE47" s="935"/>
      <c r="BF47" s="935"/>
      <c r="BG47" s="935"/>
      <c r="BH47" s="935"/>
      <c r="BI47" s="935"/>
      <c r="BJ47" s="935"/>
      <c r="BK47" s="935"/>
      <c r="BL47" s="935"/>
      <c r="BM47" s="935"/>
      <c r="BN47" s="935"/>
      <c r="BO47" s="935"/>
      <c r="BP47" s="935"/>
      <c r="BQ47" s="935"/>
      <c r="BR47" s="935"/>
      <c r="BS47" s="935"/>
      <c r="BT47" s="935"/>
    </row>
    <row r="48" spans="1:72" ht="37.5" x14ac:dyDescent="0.25">
      <c r="A48" s="956" t="s">
        <v>770</v>
      </c>
      <c r="B48" s="947" t="s">
        <v>579</v>
      </c>
      <c r="C48" s="942"/>
      <c r="D48" s="942"/>
      <c r="E48" s="942">
        <v>10</v>
      </c>
      <c r="F48" s="942">
        <v>10</v>
      </c>
      <c r="G48" s="942">
        <v>10</v>
      </c>
      <c r="H48" s="942">
        <v>10</v>
      </c>
      <c r="I48" s="942"/>
      <c r="J48" s="1674"/>
      <c r="K48" s="1675"/>
      <c r="L48" s="935"/>
      <c r="M48" s="935"/>
      <c r="N48" s="935"/>
      <c r="O48" s="935"/>
      <c r="P48" s="935"/>
      <c r="Q48" s="935"/>
      <c r="R48" s="935"/>
      <c r="S48" s="935"/>
      <c r="T48" s="935"/>
      <c r="U48" s="935"/>
      <c r="V48" s="935"/>
      <c r="W48" s="935"/>
      <c r="X48" s="935"/>
      <c r="Y48" s="935"/>
      <c r="Z48" s="935"/>
      <c r="AA48" s="935"/>
      <c r="AB48" s="935"/>
      <c r="AC48" s="935"/>
      <c r="AD48" s="935"/>
      <c r="AE48" s="935"/>
      <c r="AF48" s="935"/>
      <c r="AG48" s="935"/>
      <c r="AH48" s="935"/>
      <c r="AI48" s="935"/>
      <c r="AJ48" s="935"/>
      <c r="AK48" s="935"/>
      <c r="AL48" s="935"/>
      <c r="AM48" s="935"/>
      <c r="AN48" s="935"/>
      <c r="AO48" s="935"/>
      <c r="AP48" s="935"/>
      <c r="AQ48" s="935"/>
      <c r="AR48" s="935"/>
      <c r="AS48" s="935"/>
      <c r="AT48" s="935"/>
      <c r="AU48" s="935"/>
      <c r="AV48" s="935"/>
      <c r="AW48" s="935"/>
      <c r="AX48" s="935"/>
      <c r="AY48" s="935"/>
      <c r="AZ48" s="935"/>
      <c r="BA48" s="935"/>
      <c r="BB48" s="935"/>
      <c r="BC48" s="935"/>
      <c r="BD48" s="935"/>
      <c r="BE48" s="935"/>
      <c r="BF48" s="935"/>
      <c r="BG48" s="935"/>
      <c r="BH48" s="935"/>
      <c r="BI48" s="935"/>
      <c r="BJ48" s="935"/>
      <c r="BK48" s="935"/>
      <c r="BL48" s="935"/>
      <c r="BM48" s="935"/>
      <c r="BN48" s="935"/>
      <c r="BO48" s="935"/>
      <c r="BP48" s="935"/>
      <c r="BQ48" s="935"/>
      <c r="BR48" s="935"/>
      <c r="BS48" s="935"/>
      <c r="BT48" s="935"/>
    </row>
    <row r="49" spans="1:72" x14ac:dyDescent="0.25">
      <c r="B49" s="955" t="s">
        <v>769</v>
      </c>
      <c r="C49" s="953"/>
      <c r="D49" s="953"/>
      <c r="E49" s="953">
        <f>E48*$B$61</f>
        <v>0.65713983050847458</v>
      </c>
      <c r="F49" s="953">
        <f>F48*$B$61</f>
        <v>0.65713983050847458</v>
      </c>
      <c r="G49" s="953">
        <f>G48*$B$61</f>
        <v>0.65713983050847458</v>
      </c>
      <c r="H49" s="953">
        <f>H48*$B$61</f>
        <v>0.65713983050847458</v>
      </c>
      <c r="I49" s="953"/>
      <c r="J49" s="953"/>
      <c r="K49" s="954"/>
      <c r="L49" s="935"/>
      <c r="M49" s="935"/>
      <c r="N49" s="935"/>
      <c r="O49" s="935"/>
      <c r="P49" s="935"/>
      <c r="Q49" s="935"/>
      <c r="R49" s="935"/>
      <c r="S49" s="935"/>
      <c r="T49" s="935"/>
      <c r="U49" s="935"/>
      <c r="V49" s="935"/>
      <c r="W49" s="935"/>
      <c r="X49" s="935"/>
      <c r="Y49" s="935"/>
      <c r="Z49" s="935"/>
      <c r="AA49" s="935"/>
      <c r="AB49" s="935"/>
      <c r="AC49" s="935"/>
      <c r="AD49" s="935"/>
      <c r="AE49" s="935"/>
      <c r="AF49" s="935"/>
      <c r="AG49" s="935"/>
      <c r="AH49" s="935"/>
      <c r="AI49" s="935"/>
      <c r="AJ49" s="935"/>
      <c r="AK49" s="935"/>
      <c r="AL49" s="935"/>
      <c r="AM49" s="935"/>
      <c r="AN49" s="935"/>
      <c r="AO49" s="935"/>
      <c r="AP49" s="935"/>
      <c r="AQ49" s="935"/>
      <c r="AR49" s="935"/>
      <c r="AS49" s="935"/>
      <c r="AT49" s="935"/>
      <c r="AU49" s="935"/>
      <c r="AV49" s="935"/>
      <c r="AW49" s="935"/>
      <c r="AX49" s="935"/>
      <c r="AY49" s="935"/>
      <c r="AZ49" s="935"/>
      <c r="BA49" s="935"/>
      <c r="BB49" s="935"/>
      <c r="BC49" s="935"/>
      <c r="BD49" s="935"/>
      <c r="BE49" s="935"/>
      <c r="BF49" s="935"/>
      <c r="BG49" s="935"/>
      <c r="BH49" s="935"/>
      <c r="BI49" s="935"/>
      <c r="BJ49" s="935"/>
      <c r="BK49" s="935"/>
      <c r="BL49" s="935"/>
      <c r="BM49" s="935"/>
      <c r="BN49" s="935"/>
      <c r="BO49" s="935"/>
      <c r="BP49" s="935"/>
      <c r="BQ49" s="935"/>
      <c r="BR49" s="935"/>
      <c r="BS49" s="935"/>
      <c r="BT49" s="935"/>
    </row>
    <row r="50" spans="1:72" x14ac:dyDescent="0.25">
      <c r="A50" s="956" t="s">
        <v>771</v>
      </c>
      <c r="B50" s="957" t="s">
        <v>584</v>
      </c>
      <c r="C50" s="942"/>
      <c r="D50" s="942"/>
      <c r="E50" s="942">
        <f>E49+E46</f>
        <v>4.5838684338682461</v>
      </c>
      <c r="F50" s="942">
        <f>F49+F46</f>
        <v>4.0597161215687381</v>
      </c>
      <c r="G50" s="942">
        <f>G49+G46</f>
        <v>4.3790043270590964</v>
      </c>
      <c r="H50" s="942">
        <f>H49+H46</f>
        <v>4.6963604808104407</v>
      </c>
      <c r="I50" s="942"/>
      <c r="J50" s="953"/>
      <c r="K50" s="954"/>
      <c r="L50" s="935"/>
      <c r="M50" s="935"/>
      <c r="N50" s="935"/>
      <c r="O50" s="935"/>
      <c r="P50" s="935"/>
      <c r="Q50" s="935"/>
      <c r="R50" s="935"/>
      <c r="S50" s="935"/>
      <c r="T50" s="935"/>
      <c r="U50" s="935"/>
      <c r="V50" s="935"/>
      <c r="W50" s="935"/>
      <c r="X50" s="935"/>
      <c r="Y50" s="935"/>
      <c r="Z50" s="935"/>
      <c r="AA50" s="935"/>
      <c r="AB50" s="935"/>
      <c r="AC50" s="935"/>
      <c r="AD50" s="935"/>
      <c r="AE50" s="935"/>
      <c r="AF50" s="935"/>
      <c r="AG50" s="935"/>
      <c r="AH50" s="935"/>
      <c r="AI50" s="935"/>
      <c r="AJ50" s="935"/>
      <c r="AK50" s="935"/>
      <c r="AL50" s="935"/>
      <c r="AM50" s="935"/>
      <c r="AN50" s="935"/>
      <c r="AO50" s="935"/>
      <c r="AP50" s="935"/>
      <c r="AQ50" s="935"/>
      <c r="AR50" s="935"/>
      <c r="AS50" s="935"/>
      <c r="AT50" s="935"/>
      <c r="AU50" s="935"/>
      <c r="AV50" s="935"/>
      <c r="AW50" s="935"/>
      <c r="AX50" s="935"/>
      <c r="AY50" s="935"/>
      <c r="AZ50" s="935"/>
      <c r="BA50" s="935"/>
      <c r="BB50" s="935"/>
      <c r="BC50" s="935"/>
      <c r="BD50" s="935"/>
      <c r="BE50" s="935"/>
      <c r="BF50" s="935"/>
      <c r="BG50" s="935"/>
      <c r="BH50" s="935"/>
      <c r="BI50" s="935"/>
      <c r="BJ50" s="935"/>
      <c r="BK50" s="935"/>
      <c r="BL50" s="935"/>
      <c r="BM50" s="935"/>
      <c r="BN50" s="935"/>
      <c r="BO50" s="935"/>
      <c r="BP50" s="935"/>
      <c r="BQ50" s="935"/>
      <c r="BR50" s="935"/>
      <c r="BS50" s="935"/>
      <c r="BT50" s="935"/>
    </row>
    <row r="51" spans="1:72" x14ac:dyDescent="0.25">
      <c r="B51" s="955"/>
      <c r="C51" s="953"/>
      <c r="D51" s="953"/>
      <c r="E51" s="953"/>
      <c r="F51" s="953"/>
      <c r="G51" s="953"/>
      <c r="H51" s="953"/>
      <c r="I51" s="953"/>
      <c r="J51" s="953"/>
      <c r="K51" s="954"/>
      <c r="L51" s="935"/>
      <c r="M51" s="935"/>
      <c r="N51" s="935"/>
      <c r="O51" s="935"/>
      <c r="P51" s="935"/>
      <c r="Q51" s="935"/>
      <c r="R51" s="935"/>
      <c r="S51" s="935"/>
      <c r="T51" s="935"/>
      <c r="U51" s="935"/>
      <c r="V51" s="935"/>
      <c r="W51" s="935"/>
      <c r="X51" s="935"/>
      <c r="Y51" s="935"/>
      <c r="Z51" s="935"/>
      <c r="AA51" s="935"/>
      <c r="AB51" s="935"/>
      <c r="AC51" s="935"/>
      <c r="AD51" s="935"/>
      <c r="AE51" s="935"/>
      <c r="AF51" s="935"/>
      <c r="AG51" s="935"/>
      <c r="AH51" s="935"/>
      <c r="AI51" s="935"/>
      <c r="AJ51" s="935"/>
      <c r="AK51" s="935"/>
      <c r="AL51" s="935"/>
      <c r="AM51" s="935"/>
      <c r="AN51" s="935"/>
      <c r="AO51" s="935"/>
      <c r="AP51" s="935"/>
      <c r="AQ51" s="935"/>
      <c r="AR51" s="935"/>
      <c r="AS51" s="935"/>
      <c r="AT51" s="935"/>
      <c r="AU51" s="935"/>
      <c r="AV51" s="935"/>
      <c r="AW51" s="935"/>
      <c r="AX51" s="935"/>
      <c r="AY51" s="935"/>
      <c r="AZ51" s="935"/>
      <c r="BA51" s="935"/>
      <c r="BB51" s="935"/>
      <c r="BC51" s="935"/>
      <c r="BD51" s="935"/>
      <c r="BE51" s="935"/>
      <c r="BF51" s="935"/>
      <c r="BG51" s="935"/>
      <c r="BH51" s="935"/>
      <c r="BI51" s="935"/>
      <c r="BJ51" s="935"/>
      <c r="BK51" s="935"/>
      <c r="BL51" s="935"/>
      <c r="BM51" s="935"/>
      <c r="BN51" s="935"/>
      <c r="BO51" s="935"/>
      <c r="BP51" s="935"/>
      <c r="BQ51" s="935"/>
      <c r="BR51" s="935"/>
      <c r="BS51" s="935"/>
      <c r="BT51" s="935"/>
    </row>
    <row r="52" spans="1:72" x14ac:dyDescent="0.25">
      <c r="A52" s="952" t="s">
        <v>762</v>
      </c>
      <c r="B52" s="953"/>
      <c r="C52" s="953"/>
      <c r="D52" s="953"/>
      <c r="E52" s="953"/>
      <c r="F52" s="953"/>
      <c r="G52" s="953"/>
      <c r="H52" s="953"/>
      <c r="I52" s="953"/>
      <c r="J52" s="953"/>
      <c r="K52" s="954"/>
      <c r="L52" s="935"/>
      <c r="M52" s="935"/>
      <c r="N52" s="935"/>
      <c r="O52" s="935"/>
      <c r="P52" s="935"/>
      <c r="Q52" s="935"/>
      <c r="R52" s="935"/>
      <c r="S52" s="935"/>
      <c r="T52" s="935"/>
      <c r="U52" s="935"/>
      <c r="V52" s="935"/>
      <c r="W52" s="935"/>
      <c r="X52" s="935"/>
      <c r="Y52" s="935"/>
      <c r="Z52" s="935"/>
      <c r="AA52" s="935"/>
      <c r="AB52" s="935"/>
      <c r="AC52" s="935"/>
      <c r="AD52" s="935"/>
      <c r="AE52" s="935"/>
      <c r="AF52" s="935"/>
      <c r="AG52" s="935"/>
      <c r="AH52" s="935"/>
      <c r="AI52" s="935"/>
      <c r="AJ52" s="935"/>
      <c r="AK52" s="935"/>
      <c r="AL52" s="935"/>
      <c r="AM52" s="935"/>
      <c r="AN52" s="935"/>
      <c r="AO52" s="935"/>
      <c r="AP52" s="935"/>
      <c r="AQ52" s="935"/>
      <c r="AR52" s="935"/>
      <c r="AS52" s="935"/>
      <c r="AT52" s="935"/>
      <c r="AU52" s="935"/>
      <c r="AV52" s="935"/>
      <c r="AW52" s="935"/>
      <c r="AX52" s="935"/>
      <c r="AY52" s="935"/>
      <c r="AZ52" s="935"/>
      <c r="BA52" s="935"/>
      <c r="BB52" s="935"/>
      <c r="BC52" s="935"/>
      <c r="BD52" s="935"/>
      <c r="BE52" s="935"/>
      <c r="BF52" s="935"/>
      <c r="BG52" s="935"/>
      <c r="BH52" s="935"/>
      <c r="BI52" s="935"/>
      <c r="BJ52" s="935"/>
      <c r="BK52" s="935"/>
      <c r="BL52" s="935"/>
      <c r="BM52" s="935"/>
      <c r="BN52" s="935"/>
      <c r="BO52" s="935"/>
      <c r="BP52" s="935"/>
      <c r="BQ52" s="935"/>
      <c r="BR52" s="935"/>
      <c r="BS52" s="935"/>
      <c r="BT52" s="935"/>
    </row>
    <row r="53" spans="1:72" x14ac:dyDescent="0.25">
      <c r="A53" s="1676" t="s">
        <v>763</v>
      </c>
      <c r="B53" s="1659"/>
      <c r="C53" s="1659"/>
      <c r="D53" s="1659"/>
      <c r="E53" s="1659"/>
      <c r="F53" s="1659"/>
      <c r="G53" s="1659"/>
      <c r="H53" s="1659"/>
      <c r="I53" s="1659"/>
      <c r="J53" s="1659"/>
      <c r="K53" s="1677"/>
      <c r="L53" s="935"/>
      <c r="M53" s="935"/>
      <c r="N53" s="935"/>
      <c r="O53" s="935"/>
      <c r="P53" s="935"/>
      <c r="Q53" s="935"/>
      <c r="R53" s="935"/>
      <c r="S53" s="935"/>
      <c r="T53" s="935"/>
      <c r="U53" s="935"/>
      <c r="V53" s="935"/>
      <c r="W53" s="935"/>
      <c r="X53" s="935"/>
      <c r="Y53" s="935"/>
      <c r="Z53" s="935"/>
      <c r="AA53" s="935"/>
      <c r="AB53" s="935"/>
      <c r="AC53" s="935"/>
      <c r="AD53" s="935"/>
      <c r="AE53" s="935"/>
      <c r="AF53" s="935"/>
      <c r="AG53" s="935"/>
      <c r="AH53" s="935"/>
      <c r="AI53" s="935"/>
      <c r="AJ53" s="935"/>
      <c r="AK53" s="935"/>
      <c r="AL53" s="935"/>
      <c r="AM53" s="935"/>
      <c r="AN53" s="935"/>
      <c r="AO53" s="935"/>
      <c r="AP53" s="935"/>
      <c r="AQ53" s="935"/>
      <c r="AR53" s="935"/>
      <c r="AS53" s="935"/>
      <c r="AT53" s="935"/>
      <c r="AU53" s="935"/>
      <c r="AV53" s="935"/>
      <c r="AW53" s="935"/>
      <c r="AX53" s="935"/>
      <c r="AY53" s="935"/>
      <c r="AZ53" s="935"/>
      <c r="BA53" s="935"/>
      <c r="BB53" s="935"/>
      <c r="BC53" s="935"/>
      <c r="BD53" s="935"/>
      <c r="BE53" s="935"/>
      <c r="BF53" s="935"/>
      <c r="BG53" s="935"/>
      <c r="BH53" s="935"/>
      <c r="BI53" s="935"/>
      <c r="BJ53" s="935"/>
      <c r="BK53" s="935"/>
      <c r="BL53" s="935"/>
      <c r="BM53" s="935"/>
      <c r="BN53" s="935"/>
      <c r="BO53" s="935"/>
      <c r="BP53" s="935"/>
      <c r="BQ53" s="935"/>
      <c r="BR53" s="935"/>
      <c r="BS53" s="935"/>
      <c r="BT53" s="935"/>
    </row>
    <row r="54" spans="1:72" x14ac:dyDescent="0.25">
      <c r="A54" s="1678" t="s">
        <v>320</v>
      </c>
      <c r="B54" s="1679"/>
      <c r="C54" s="1679"/>
      <c r="D54" s="1679"/>
      <c r="E54" s="1679"/>
      <c r="F54" s="1679"/>
      <c r="G54" s="1679"/>
      <c r="H54" s="1679"/>
      <c r="I54" s="1679"/>
      <c r="J54" s="1679"/>
      <c r="K54" s="1680"/>
      <c r="L54" s="935"/>
      <c r="M54" s="935"/>
      <c r="N54" s="935"/>
      <c r="O54" s="935"/>
      <c r="P54" s="935"/>
      <c r="Q54" s="935"/>
      <c r="R54" s="935"/>
      <c r="S54" s="935"/>
      <c r="T54" s="935"/>
      <c r="U54" s="935"/>
      <c r="V54" s="935"/>
      <c r="W54" s="935"/>
      <c r="X54" s="935"/>
      <c r="Y54" s="935"/>
      <c r="Z54" s="935"/>
      <c r="AA54" s="935"/>
      <c r="AB54" s="935"/>
      <c r="AC54" s="935"/>
      <c r="AD54" s="935"/>
      <c r="AE54" s="935"/>
      <c r="AF54" s="935"/>
      <c r="AG54" s="935"/>
      <c r="AH54" s="935"/>
      <c r="AI54" s="935"/>
      <c r="AJ54" s="935"/>
      <c r="AK54" s="935"/>
      <c r="AL54" s="935"/>
      <c r="AM54" s="935"/>
      <c r="AN54" s="935"/>
      <c r="AO54" s="935"/>
      <c r="AP54" s="935"/>
      <c r="AQ54" s="935"/>
      <c r="AR54" s="935"/>
      <c r="AS54" s="935"/>
      <c r="AT54" s="935"/>
      <c r="AU54" s="935"/>
      <c r="AV54" s="935"/>
      <c r="AW54" s="935"/>
      <c r="AX54" s="935"/>
      <c r="AY54" s="935"/>
      <c r="AZ54" s="935"/>
      <c r="BA54" s="935"/>
      <c r="BB54" s="935"/>
      <c r="BC54" s="935"/>
      <c r="BD54" s="935"/>
      <c r="BE54" s="935"/>
      <c r="BF54" s="935"/>
      <c r="BG54" s="935"/>
      <c r="BH54" s="935"/>
      <c r="BI54" s="935"/>
      <c r="BJ54" s="935"/>
      <c r="BK54" s="935"/>
      <c r="BL54" s="935"/>
      <c r="BM54" s="935"/>
      <c r="BN54" s="935"/>
      <c r="BO54" s="935"/>
      <c r="BP54" s="935"/>
      <c r="BQ54" s="935"/>
      <c r="BR54" s="935"/>
      <c r="BS54" s="935"/>
      <c r="BT54" s="935"/>
    </row>
    <row r="55" spans="1:72" x14ac:dyDescent="0.25">
      <c r="A55" s="1678"/>
      <c r="B55" s="1679"/>
      <c r="C55" s="1679"/>
      <c r="D55" s="1679"/>
      <c r="E55" s="1679"/>
      <c r="F55" s="1679"/>
      <c r="G55" s="1679"/>
      <c r="H55" s="1679"/>
      <c r="I55" s="1679"/>
      <c r="J55" s="1679"/>
      <c r="K55" s="1680"/>
      <c r="L55" s="935"/>
      <c r="M55" s="935"/>
      <c r="N55" s="935"/>
      <c r="O55" s="935"/>
      <c r="P55" s="935"/>
      <c r="Q55" s="935"/>
      <c r="R55" s="935"/>
      <c r="S55" s="935"/>
      <c r="T55" s="935"/>
      <c r="U55" s="935"/>
      <c r="V55" s="935"/>
      <c r="W55" s="935"/>
      <c r="X55" s="935"/>
      <c r="Y55" s="935"/>
      <c r="Z55" s="935"/>
      <c r="AA55" s="935"/>
      <c r="AB55" s="935"/>
      <c r="AC55" s="935"/>
      <c r="AD55" s="935"/>
      <c r="AE55" s="935"/>
      <c r="AF55" s="935"/>
      <c r="AG55" s="935"/>
      <c r="AH55" s="935"/>
      <c r="AI55" s="935"/>
      <c r="AJ55" s="935"/>
      <c r="AK55" s="935"/>
      <c r="AL55" s="935"/>
      <c r="AM55" s="935"/>
      <c r="AN55" s="935"/>
      <c r="AO55" s="935"/>
      <c r="AP55" s="935"/>
      <c r="AQ55" s="935"/>
      <c r="AR55" s="935"/>
      <c r="AS55" s="935"/>
      <c r="AT55" s="935"/>
      <c r="AU55" s="935"/>
      <c r="AV55" s="935"/>
      <c r="AW55" s="935"/>
      <c r="AX55" s="935"/>
      <c r="AY55" s="935"/>
      <c r="AZ55" s="935"/>
      <c r="BA55" s="935"/>
      <c r="BB55" s="935"/>
      <c r="BC55" s="935"/>
      <c r="BD55" s="935"/>
      <c r="BE55" s="935"/>
      <c r="BF55" s="935"/>
      <c r="BG55" s="935"/>
      <c r="BH55" s="935"/>
      <c r="BI55" s="935"/>
      <c r="BJ55" s="935"/>
      <c r="BK55" s="935"/>
      <c r="BL55" s="935"/>
      <c r="BM55" s="935"/>
      <c r="BN55" s="935"/>
      <c r="BO55" s="935"/>
      <c r="BP55" s="935"/>
      <c r="BQ55" s="935"/>
      <c r="BR55" s="935"/>
      <c r="BS55" s="935"/>
      <c r="BT55" s="935"/>
    </row>
    <row r="56" spans="1:72" ht="13" thickBot="1" x14ac:dyDescent="0.3">
      <c r="A56" s="1669" t="s">
        <v>764</v>
      </c>
      <c r="B56" s="1670"/>
      <c r="C56" s="1670"/>
      <c r="D56" s="1670"/>
      <c r="E56" s="1670"/>
      <c r="F56" s="1670"/>
      <c r="G56" s="1670"/>
      <c r="H56" s="1670"/>
      <c r="I56" s="1670"/>
      <c r="J56" s="1670"/>
      <c r="K56" s="1671"/>
      <c r="L56" s="935"/>
      <c r="M56" s="935"/>
      <c r="N56" s="935"/>
      <c r="O56" s="935"/>
      <c r="P56" s="935"/>
      <c r="Q56" s="935"/>
      <c r="R56" s="935"/>
      <c r="S56" s="935"/>
      <c r="T56" s="935"/>
      <c r="U56" s="935"/>
      <c r="V56" s="935"/>
      <c r="W56" s="935"/>
      <c r="X56" s="935"/>
      <c r="Y56" s="935"/>
      <c r="Z56" s="935"/>
      <c r="AA56" s="935"/>
      <c r="AB56" s="935"/>
      <c r="AC56" s="935"/>
      <c r="AD56" s="935"/>
      <c r="AE56" s="935"/>
      <c r="AF56" s="935"/>
      <c r="AG56" s="935"/>
      <c r="AH56" s="935"/>
      <c r="AI56" s="935"/>
      <c r="AJ56" s="935"/>
      <c r="AK56" s="935"/>
      <c r="AL56" s="935"/>
      <c r="AM56" s="935"/>
      <c r="AN56" s="935"/>
      <c r="AO56" s="935"/>
      <c r="AP56" s="935"/>
      <c r="AQ56" s="935"/>
      <c r="AR56" s="935"/>
      <c r="AS56" s="935"/>
      <c r="AT56" s="935"/>
      <c r="AU56" s="935"/>
      <c r="AV56" s="935"/>
      <c r="AW56" s="935"/>
      <c r="AX56" s="935"/>
      <c r="AY56" s="935"/>
      <c r="AZ56" s="935"/>
      <c r="BA56" s="935"/>
      <c r="BB56" s="935"/>
      <c r="BC56" s="935"/>
      <c r="BD56" s="935"/>
      <c r="BE56" s="935"/>
      <c r="BF56" s="935"/>
      <c r="BG56" s="935"/>
      <c r="BH56" s="935"/>
      <c r="BI56" s="935"/>
      <c r="BJ56" s="935"/>
      <c r="BK56" s="935"/>
      <c r="BL56" s="935"/>
      <c r="BM56" s="935"/>
      <c r="BN56" s="935"/>
      <c r="BO56" s="935"/>
      <c r="BP56" s="935"/>
      <c r="BQ56" s="935"/>
      <c r="BR56" s="935"/>
      <c r="BS56" s="935"/>
      <c r="BT56" s="935"/>
    </row>
    <row r="57" spans="1:72" x14ac:dyDescent="0.25">
      <c r="A57" s="951"/>
      <c r="B57" s="951"/>
      <c r="C57" s="951"/>
      <c r="D57" s="951"/>
      <c r="E57" s="951"/>
      <c r="F57" s="951"/>
      <c r="G57" s="951"/>
      <c r="H57" s="951"/>
      <c r="I57" s="951"/>
      <c r="J57" s="951"/>
      <c r="K57" s="951"/>
      <c r="L57" s="935"/>
      <c r="M57" s="935"/>
      <c r="N57" s="935"/>
      <c r="O57" s="935"/>
      <c r="P57" s="935"/>
      <c r="Q57" s="935"/>
      <c r="R57" s="935"/>
      <c r="S57" s="935"/>
      <c r="T57" s="935"/>
      <c r="U57" s="935"/>
      <c r="V57" s="935"/>
      <c r="W57" s="935"/>
      <c r="X57" s="935"/>
      <c r="Y57" s="935"/>
      <c r="Z57" s="935"/>
      <c r="AA57" s="935"/>
      <c r="AB57" s="935"/>
      <c r="AC57" s="935"/>
      <c r="AD57" s="935"/>
      <c r="AE57" s="935"/>
      <c r="AF57" s="935"/>
      <c r="AG57" s="935"/>
      <c r="AH57" s="935"/>
      <c r="AI57" s="935"/>
      <c r="AJ57" s="935"/>
      <c r="AK57" s="935"/>
      <c r="AL57" s="935"/>
      <c r="AM57" s="935"/>
      <c r="AN57" s="935"/>
      <c r="AO57" s="935"/>
      <c r="AP57" s="935"/>
      <c r="AQ57" s="935"/>
      <c r="AR57" s="935"/>
      <c r="AS57" s="935"/>
      <c r="AT57" s="935"/>
      <c r="AU57" s="935"/>
      <c r="AV57" s="935"/>
      <c r="AW57" s="935"/>
      <c r="AX57" s="935"/>
      <c r="AY57" s="935"/>
      <c r="AZ57" s="935"/>
      <c r="BA57" s="935"/>
      <c r="BB57" s="935"/>
      <c r="BC57" s="935"/>
      <c r="BD57" s="935"/>
      <c r="BE57" s="935"/>
      <c r="BF57" s="935"/>
      <c r="BG57" s="935"/>
      <c r="BH57" s="935"/>
      <c r="BI57" s="935"/>
      <c r="BJ57" s="935"/>
      <c r="BK57" s="935"/>
      <c r="BL57" s="935"/>
      <c r="BM57" s="935"/>
      <c r="BN57" s="935"/>
      <c r="BO57" s="935"/>
      <c r="BP57" s="935"/>
      <c r="BQ57" s="935"/>
      <c r="BR57" s="935"/>
      <c r="BS57" s="935"/>
      <c r="BT57" s="935"/>
    </row>
    <row r="58" spans="1:72" x14ac:dyDescent="0.25">
      <c r="A58" s="935" t="s">
        <v>767</v>
      </c>
      <c r="B58" s="935"/>
      <c r="C58" s="935"/>
      <c r="D58" s="935"/>
      <c r="E58" s="935"/>
      <c r="F58" s="935"/>
      <c r="G58" s="935"/>
      <c r="H58" s="935"/>
      <c r="I58" s="935"/>
      <c r="J58" s="935"/>
      <c r="K58" s="935"/>
      <c r="L58" s="935"/>
      <c r="M58" s="935"/>
      <c r="N58" s="935"/>
      <c r="O58" s="935"/>
      <c r="P58" s="935"/>
      <c r="Q58" s="935"/>
      <c r="R58" s="935"/>
      <c r="S58" s="935"/>
      <c r="T58" s="935"/>
      <c r="U58" s="935"/>
      <c r="V58" s="935"/>
      <c r="W58" s="935"/>
      <c r="X58" s="935"/>
      <c r="Y58" s="935"/>
      <c r="Z58" s="935"/>
      <c r="AA58" s="935"/>
      <c r="AB58" s="935"/>
      <c r="AC58" s="935"/>
      <c r="AD58" s="935"/>
      <c r="AE58" s="935"/>
      <c r="AF58" s="935"/>
      <c r="AG58" s="935"/>
      <c r="AH58" s="935"/>
      <c r="AI58" s="935"/>
      <c r="AJ58" s="935"/>
      <c r="AK58" s="935"/>
      <c r="AL58" s="935"/>
      <c r="AM58" s="935"/>
      <c r="AN58" s="935"/>
      <c r="AO58" s="935"/>
      <c r="AP58" s="935"/>
      <c r="AQ58" s="935"/>
      <c r="AR58" s="935"/>
      <c r="AS58" s="935"/>
      <c r="AT58" s="935"/>
      <c r="AU58" s="935"/>
      <c r="AV58" s="935"/>
      <c r="AW58" s="935"/>
      <c r="AX58" s="935"/>
      <c r="AY58" s="935"/>
      <c r="AZ58" s="935"/>
      <c r="BA58" s="935"/>
      <c r="BB58" s="935"/>
      <c r="BC58" s="935"/>
      <c r="BD58" s="935"/>
      <c r="BE58" s="935"/>
      <c r="BF58" s="935"/>
      <c r="BG58" s="935"/>
      <c r="BH58" s="935"/>
      <c r="BI58" s="935"/>
      <c r="BJ58" s="935"/>
      <c r="BK58" s="935"/>
      <c r="BL58" s="935"/>
      <c r="BM58" s="935"/>
      <c r="BN58" s="935"/>
      <c r="BO58" s="935"/>
      <c r="BP58" s="935"/>
      <c r="BQ58" s="935"/>
      <c r="BR58" s="935"/>
      <c r="BS58" s="935"/>
      <c r="BT58" s="935"/>
    </row>
    <row r="59" spans="1:72" x14ac:dyDescent="0.25">
      <c r="A59" s="935" t="s">
        <v>766</v>
      </c>
      <c r="B59" s="935">
        <v>19022</v>
      </c>
      <c r="C59" s="935"/>
      <c r="D59" s="935"/>
      <c r="E59" s="935"/>
      <c r="F59" s="935"/>
      <c r="G59" s="935"/>
      <c r="H59" s="935"/>
      <c r="I59" s="935"/>
      <c r="J59" s="935"/>
      <c r="K59" s="935"/>
      <c r="L59" s="935"/>
      <c r="M59" s="935"/>
      <c r="N59" s="935"/>
      <c r="O59" s="935"/>
      <c r="P59" s="935"/>
      <c r="Q59" s="935"/>
      <c r="R59" s="935"/>
      <c r="S59" s="935"/>
      <c r="T59" s="935"/>
      <c r="U59" s="935"/>
      <c r="V59" s="935"/>
      <c r="W59" s="935"/>
      <c r="X59" s="935"/>
      <c r="Y59" s="935"/>
      <c r="Z59" s="935"/>
      <c r="AA59" s="935"/>
      <c r="AB59" s="935"/>
      <c r="AC59" s="935"/>
      <c r="AD59" s="935"/>
      <c r="AE59" s="935"/>
      <c r="AF59" s="935"/>
      <c r="AG59" s="935"/>
      <c r="AH59" s="935"/>
      <c r="AI59" s="935"/>
      <c r="AJ59" s="935"/>
      <c r="AK59" s="935"/>
      <c r="AL59" s="935"/>
      <c r="AM59" s="935"/>
      <c r="AN59" s="935"/>
      <c r="AO59" s="935"/>
      <c r="AP59" s="935"/>
      <c r="AQ59" s="935"/>
      <c r="AR59" s="935"/>
      <c r="AS59" s="935"/>
      <c r="AT59" s="935"/>
      <c r="AU59" s="935"/>
      <c r="AV59" s="935"/>
      <c r="AW59" s="935"/>
      <c r="AX59" s="935"/>
      <c r="AY59" s="935"/>
      <c r="AZ59" s="935"/>
      <c r="BA59" s="935"/>
      <c r="BB59" s="935"/>
      <c r="BC59" s="935"/>
      <c r="BD59" s="935"/>
      <c r="BE59" s="935"/>
      <c r="BF59" s="935"/>
      <c r="BG59" s="935"/>
      <c r="BH59" s="935"/>
      <c r="BI59" s="935"/>
      <c r="BJ59" s="935"/>
      <c r="BK59" s="935"/>
      <c r="BL59" s="935"/>
      <c r="BM59" s="935"/>
      <c r="BN59" s="935"/>
      <c r="BO59" s="935"/>
      <c r="BP59" s="935"/>
      <c r="BQ59" s="935"/>
      <c r="BR59" s="935"/>
      <c r="BS59" s="935"/>
      <c r="BT59" s="935"/>
    </row>
    <row r="60" spans="1:72" x14ac:dyDescent="0.25">
      <c r="A60" s="935" t="s">
        <v>765</v>
      </c>
      <c r="B60" s="935">
        <v>17700</v>
      </c>
      <c r="C60" s="935"/>
      <c r="D60" s="935"/>
      <c r="E60" s="935"/>
      <c r="F60" s="935"/>
      <c r="G60" s="935"/>
      <c r="H60" s="935"/>
      <c r="I60" s="935"/>
      <c r="J60" s="935"/>
      <c r="K60" s="935"/>
      <c r="L60" s="935"/>
      <c r="M60" s="935"/>
      <c r="N60" s="935"/>
      <c r="O60" s="935"/>
      <c r="P60" s="935"/>
      <c r="Q60" s="935"/>
      <c r="R60" s="935"/>
      <c r="S60" s="935"/>
      <c r="T60" s="935"/>
      <c r="U60" s="935"/>
      <c r="V60" s="935"/>
      <c r="W60" s="935"/>
      <c r="X60" s="935"/>
      <c r="Y60" s="935"/>
      <c r="Z60" s="935"/>
      <c r="AA60" s="935"/>
      <c r="AB60" s="935"/>
      <c r="AC60" s="935"/>
      <c r="AD60" s="935"/>
      <c r="AE60" s="935"/>
      <c r="AF60" s="935"/>
      <c r="AG60" s="935"/>
      <c r="AH60" s="935"/>
      <c r="AI60" s="935"/>
      <c r="AJ60" s="935"/>
      <c r="AK60" s="935"/>
      <c r="AL60" s="935"/>
      <c r="AM60" s="935"/>
      <c r="AN60" s="935"/>
      <c r="AO60" s="935"/>
      <c r="AP60" s="935"/>
      <c r="AQ60" s="935"/>
      <c r="AR60" s="935"/>
      <c r="AS60" s="935"/>
      <c r="AT60" s="935"/>
      <c r="AU60" s="935"/>
      <c r="AV60" s="935"/>
      <c r="AW60" s="935"/>
      <c r="AX60" s="935"/>
      <c r="AY60" s="935"/>
      <c r="AZ60" s="935"/>
      <c r="BA60" s="935"/>
      <c r="BB60" s="935"/>
      <c r="BC60" s="935"/>
      <c r="BD60" s="935"/>
      <c r="BE60" s="935"/>
      <c r="BF60" s="935"/>
      <c r="BG60" s="935"/>
      <c r="BH60" s="935"/>
      <c r="BI60" s="935"/>
      <c r="BJ60" s="935"/>
      <c r="BK60" s="935"/>
      <c r="BL60" s="935"/>
      <c r="BM60" s="935"/>
      <c r="BN60" s="935"/>
      <c r="BO60" s="935"/>
      <c r="BP60" s="935"/>
      <c r="BQ60" s="935"/>
      <c r="BR60" s="935"/>
      <c r="BS60" s="935"/>
      <c r="BT60" s="935"/>
    </row>
    <row r="61" spans="1:72" x14ac:dyDescent="0.25">
      <c r="A61" s="935" t="s">
        <v>768</v>
      </c>
      <c r="B61" s="935">
        <f>2.205/2000/B60*mmBTU_to_GJ*1000000</f>
        <v>6.5713983050847455E-2</v>
      </c>
      <c r="C61" s="935"/>
      <c r="D61" s="935"/>
      <c r="E61" s="935"/>
      <c r="F61" s="935"/>
      <c r="G61" s="935"/>
      <c r="H61" s="935"/>
      <c r="I61" s="935"/>
      <c r="J61" s="935"/>
      <c r="K61" s="935"/>
      <c r="L61" s="935"/>
      <c r="M61" s="935"/>
      <c r="N61" s="935"/>
      <c r="O61" s="935"/>
      <c r="P61" s="935"/>
      <c r="Q61" s="935"/>
      <c r="R61" s="935"/>
      <c r="S61" s="935"/>
      <c r="T61" s="935"/>
      <c r="U61" s="935"/>
      <c r="V61" s="935"/>
      <c r="W61" s="935"/>
      <c r="X61" s="935"/>
      <c r="Y61" s="935"/>
      <c r="Z61" s="935"/>
      <c r="AA61" s="935"/>
      <c r="AB61" s="935"/>
      <c r="AC61" s="935"/>
      <c r="AD61" s="935"/>
      <c r="AE61" s="935"/>
      <c r="AF61" s="935"/>
      <c r="AG61" s="935"/>
      <c r="AH61" s="935"/>
      <c r="AI61" s="935"/>
      <c r="AJ61" s="935"/>
      <c r="AK61" s="935"/>
      <c r="AL61" s="935"/>
      <c r="AM61" s="935"/>
      <c r="AN61" s="935"/>
      <c r="AO61" s="935"/>
      <c r="AP61" s="935"/>
      <c r="AQ61" s="935"/>
      <c r="AR61" s="935"/>
      <c r="AS61" s="935"/>
      <c r="AT61" s="935"/>
      <c r="AU61" s="935"/>
      <c r="AV61" s="935"/>
      <c r="AW61" s="935"/>
      <c r="AX61" s="935"/>
      <c r="AY61" s="935"/>
      <c r="AZ61" s="935"/>
      <c r="BA61" s="935"/>
      <c r="BB61" s="935"/>
      <c r="BC61" s="935"/>
      <c r="BD61" s="935"/>
      <c r="BE61" s="935"/>
      <c r="BF61" s="935"/>
      <c r="BG61" s="935"/>
      <c r="BH61" s="935"/>
      <c r="BI61" s="935"/>
      <c r="BJ61" s="935"/>
      <c r="BK61" s="935"/>
      <c r="BL61" s="935"/>
      <c r="BM61" s="935"/>
      <c r="BN61" s="935"/>
      <c r="BO61" s="935"/>
      <c r="BP61" s="935"/>
      <c r="BQ61" s="935"/>
      <c r="BR61" s="935"/>
      <c r="BS61" s="935"/>
      <c r="BT61" s="935"/>
    </row>
    <row r="62" spans="1:72" x14ac:dyDescent="0.25">
      <c r="A62" s="935"/>
      <c r="B62" s="935"/>
      <c r="C62" s="935"/>
      <c r="D62" s="935"/>
      <c r="E62" s="935"/>
      <c r="F62" s="935"/>
      <c r="G62" s="935"/>
      <c r="H62" s="935"/>
      <c r="I62" s="935"/>
      <c r="J62" s="935"/>
      <c r="K62" s="935"/>
      <c r="L62" s="935"/>
      <c r="M62" s="935"/>
      <c r="N62" s="935"/>
      <c r="O62" s="935"/>
      <c r="P62" s="935"/>
      <c r="Q62" s="935"/>
      <c r="R62" s="935"/>
      <c r="S62" s="935"/>
      <c r="T62" s="935"/>
      <c r="U62" s="935"/>
      <c r="V62" s="935"/>
      <c r="W62" s="935"/>
      <c r="X62" s="935"/>
      <c r="Y62" s="935"/>
      <c r="Z62" s="935"/>
      <c r="AA62" s="935"/>
      <c r="AB62" s="935"/>
      <c r="AC62" s="935"/>
      <c r="AD62" s="935"/>
      <c r="AE62" s="935"/>
      <c r="AF62" s="935"/>
      <c r="AG62" s="935"/>
      <c r="AH62" s="935"/>
      <c r="AI62" s="935"/>
      <c r="AJ62" s="935"/>
      <c r="AK62" s="935"/>
      <c r="AL62" s="935"/>
      <c r="AM62" s="935"/>
      <c r="AN62" s="935"/>
      <c r="AO62" s="935"/>
      <c r="AP62" s="935"/>
      <c r="AQ62" s="935"/>
      <c r="AR62" s="935"/>
      <c r="AS62" s="935"/>
      <c r="AT62" s="935"/>
      <c r="AU62" s="935"/>
      <c r="AV62" s="935"/>
      <c r="AW62" s="935"/>
      <c r="AX62" s="935"/>
      <c r="AY62" s="935"/>
      <c r="AZ62" s="935"/>
      <c r="BA62" s="935"/>
      <c r="BB62" s="935"/>
      <c r="BC62" s="935"/>
      <c r="BD62" s="935"/>
      <c r="BE62" s="935"/>
      <c r="BF62" s="935"/>
      <c r="BG62" s="935"/>
      <c r="BH62" s="935"/>
      <c r="BI62" s="935"/>
      <c r="BJ62" s="935"/>
      <c r="BK62" s="935"/>
      <c r="BL62" s="935"/>
      <c r="BM62" s="935"/>
      <c r="BN62" s="935"/>
      <c r="BO62" s="935"/>
      <c r="BP62" s="935"/>
      <c r="BQ62" s="935"/>
      <c r="BR62" s="935"/>
      <c r="BS62" s="935"/>
      <c r="BT62" s="935"/>
    </row>
    <row r="63" spans="1:72" x14ac:dyDescent="0.25">
      <c r="A63" s="935"/>
      <c r="B63" s="935"/>
      <c r="C63" s="935"/>
      <c r="D63" s="935"/>
      <c r="E63" s="935"/>
      <c r="F63" s="935"/>
      <c r="G63" s="935"/>
      <c r="H63" s="935"/>
      <c r="I63" s="935"/>
      <c r="J63" s="935"/>
      <c r="K63" s="935"/>
      <c r="L63" s="935"/>
      <c r="M63" s="935"/>
      <c r="N63" s="935"/>
      <c r="O63" s="935"/>
      <c r="P63" s="935"/>
      <c r="Q63" s="935"/>
      <c r="R63" s="935"/>
      <c r="S63" s="935"/>
      <c r="T63" s="935"/>
      <c r="U63" s="935"/>
      <c r="V63" s="935"/>
      <c r="W63" s="935"/>
      <c r="X63" s="935"/>
      <c r="Y63" s="935"/>
      <c r="Z63" s="935"/>
      <c r="AA63" s="935"/>
      <c r="AB63" s="935"/>
      <c r="AC63" s="935"/>
      <c r="AD63" s="935"/>
      <c r="AE63" s="935"/>
      <c r="AF63" s="935"/>
      <c r="AG63" s="935"/>
      <c r="AH63" s="935"/>
      <c r="AI63" s="935"/>
      <c r="AJ63" s="935"/>
      <c r="AK63" s="935"/>
      <c r="AL63" s="935"/>
      <c r="AM63" s="935"/>
      <c r="AN63" s="935"/>
      <c r="AO63" s="935"/>
      <c r="AP63" s="935"/>
      <c r="AQ63" s="935"/>
      <c r="AR63" s="935"/>
      <c r="AS63" s="935"/>
      <c r="AT63" s="935"/>
      <c r="AU63" s="935"/>
      <c r="AV63" s="935"/>
      <c r="AW63" s="935"/>
      <c r="AX63" s="935"/>
      <c r="AY63" s="935"/>
      <c r="AZ63" s="935"/>
      <c r="BA63" s="935"/>
      <c r="BB63" s="935"/>
      <c r="BC63" s="935"/>
      <c r="BD63" s="935"/>
      <c r="BE63" s="935"/>
      <c r="BF63" s="935"/>
      <c r="BG63" s="935"/>
      <c r="BH63" s="935"/>
      <c r="BI63" s="935"/>
      <c r="BJ63" s="935"/>
      <c r="BK63" s="935"/>
      <c r="BL63" s="935"/>
      <c r="BM63" s="935"/>
      <c r="BN63" s="935"/>
      <c r="BO63" s="935"/>
      <c r="BP63" s="935"/>
      <c r="BQ63" s="935"/>
      <c r="BR63" s="935"/>
      <c r="BS63" s="935"/>
      <c r="BT63" s="935"/>
    </row>
    <row r="64" spans="1:72" x14ac:dyDescent="0.25">
      <c r="A64" s="935"/>
      <c r="B64" s="935" t="s">
        <v>774</v>
      </c>
      <c r="C64" s="935" t="s">
        <v>775</v>
      </c>
      <c r="D64" s="935"/>
      <c r="E64" s="935"/>
      <c r="F64" s="935"/>
      <c r="G64" s="935"/>
      <c r="H64" s="935"/>
      <c r="I64" s="935"/>
      <c r="J64" s="935"/>
      <c r="K64" s="935"/>
      <c r="L64" s="935"/>
      <c r="M64" s="935"/>
      <c r="N64" s="935"/>
      <c r="O64" s="935"/>
      <c r="P64" s="935"/>
      <c r="Q64" s="935"/>
      <c r="R64" s="935"/>
      <c r="S64" s="935"/>
      <c r="T64" s="935"/>
      <c r="U64" s="935"/>
      <c r="V64" s="935"/>
      <c r="W64" s="935"/>
      <c r="X64" s="935"/>
      <c r="Y64" s="935"/>
      <c r="Z64" s="935"/>
      <c r="AA64" s="935"/>
      <c r="AB64" s="935"/>
      <c r="AC64" s="935"/>
      <c r="AD64" s="935"/>
      <c r="AE64" s="935"/>
      <c r="AF64" s="935"/>
      <c r="AG64" s="935"/>
      <c r="AH64" s="935"/>
      <c r="AI64" s="935"/>
      <c r="AJ64" s="935"/>
      <c r="AK64" s="935"/>
      <c r="AL64" s="935"/>
      <c r="AM64" s="935"/>
      <c r="AN64" s="935"/>
      <c r="AO64" s="935"/>
      <c r="AP64" s="935"/>
      <c r="AQ64" s="935"/>
      <c r="AR64" s="935"/>
      <c r="AS64" s="935"/>
      <c r="AT64" s="935"/>
      <c r="AU64" s="935"/>
      <c r="AV64" s="935"/>
      <c r="AW64" s="935"/>
      <c r="AX64" s="935"/>
      <c r="AY64" s="935"/>
      <c r="AZ64" s="935"/>
      <c r="BA64" s="935"/>
      <c r="BB64" s="935"/>
      <c r="BC64" s="935"/>
      <c r="BD64" s="935"/>
      <c r="BE64" s="935"/>
      <c r="BF64" s="935"/>
      <c r="BG64" s="935"/>
      <c r="BH64" s="935"/>
      <c r="BI64" s="935"/>
      <c r="BJ64" s="935"/>
      <c r="BK64" s="935"/>
      <c r="BL64" s="935"/>
      <c r="BM64" s="935"/>
      <c r="BN64" s="935"/>
      <c r="BO64" s="935"/>
      <c r="BP64" s="935"/>
      <c r="BQ64" s="935"/>
      <c r="BR64" s="935"/>
      <c r="BS64" s="935"/>
      <c r="BT64" s="935"/>
    </row>
    <row r="65" spans="1:72" x14ac:dyDescent="0.25">
      <c r="A65" s="935"/>
      <c r="B65" s="935" t="s">
        <v>776</v>
      </c>
      <c r="C65" s="935" t="s">
        <v>777</v>
      </c>
      <c r="D65" s="935"/>
      <c r="E65" s="935"/>
      <c r="F65" s="935" t="s">
        <v>778</v>
      </c>
      <c r="G65" s="935"/>
      <c r="H65" s="935"/>
      <c r="I65" s="935"/>
      <c r="J65" s="935"/>
      <c r="K65" s="935"/>
      <c r="L65" s="935"/>
      <c r="M65" s="935"/>
      <c r="N65" s="935"/>
      <c r="O65" s="935"/>
      <c r="P65" s="935"/>
      <c r="Q65" s="935"/>
      <c r="R65" s="935"/>
      <c r="S65" s="935"/>
      <c r="T65" s="935"/>
      <c r="U65" s="935"/>
      <c r="V65" s="935"/>
      <c r="W65" s="935"/>
      <c r="X65" s="935"/>
      <c r="Y65" s="935"/>
      <c r="Z65" s="935"/>
      <c r="AA65" s="935"/>
      <c r="AB65" s="935"/>
      <c r="AC65" s="935"/>
      <c r="AD65" s="935"/>
      <c r="AE65" s="935"/>
      <c r="AF65" s="935"/>
      <c r="AG65" s="935"/>
      <c r="AH65" s="935"/>
      <c r="AI65" s="935"/>
      <c r="AJ65" s="935"/>
      <c r="AK65" s="935"/>
      <c r="AL65" s="935"/>
      <c r="AM65" s="935"/>
      <c r="AN65" s="935"/>
      <c r="AO65" s="935"/>
      <c r="AP65" s="935"/>
      <c r="AQ65" s="935"/>
      <c r="AR65" s="935"/>
      <c r="AS65" s="935"/>
      <c r="AT65" s="935"/>
      <c r="AU65" s="935"/>
      <c r="AV65" s="935"/>
      <c r="AW65" s="935"/>
      <c r="AX65" s="935"/>
      <c r="AY65" s="935"/>
      <c r="AZ65" s="935"/>
      <c r="BA65" s="935"/>
      <c r="BB65" s="935"/>
      <c r="BC65" s="935"/>
      <c r="BD65" s="935"/>
      <c r="BE65" s="935"/>
      <c r="BF65" s="935"/>
      <c r="BG65" s="935"/>
      <c r="BH65" s="935"/>
      <c r="BI65" s="935"/>
      <c r="BJ65" s="935"/>
      <c r="BK65" s="935"/>
      <c r="BL65" s="935"/>
      <c r="BM65" s="935"/>
      <c r="BN65" s="935"/>
      <c r="BO65" s="935"/>
      <c r="BP65" s="935"/>
      <c r="BQ65" s="935"/>
      <c r="BR65" s="935"/>
      <c r="BS65" s="935"/>
      <c r="BT65" s="935"/>
    </row>
    <row r="66" spans="1:72" x14ac:dyDescent="0.25">
      <c r="A66" s="935"/>
      <c r="B66" s="935" t="s">
        <v>779</v>
      </c>
      <c r="C66" s="935" t="s">
        <v>780</v>
      </c>
      <c r="D66" s="935"/>
      <c r="E66" s="935"/>
      <c r="F66" s="935"/>
      <c r="G66" s="935"/>
      <c r="H66" s="935"/>
      <c r="I66" s="935"/>
      <c r="J66" s="935"/>
      <c r="K66" s="935"/>
      <c r="L66" s="935"/>
      <c r="M66" s="935"/>
      <c r="N66" s="935"/>
      <c r="O66" s="935"/>
      <c r="P66" s="935"/>
      <c r="Q66" s="935"/>
      <c r="R66" s="935"/>
      <c r="S66" s="935"/>
      <c r="T66" s="935"/>
      <c r="U66" s="935"/>
      <c r="V66" s="935"/>
      <c r="W66" s="935"/>
      <c r="X66" s="935"/>
      <c r="Y66" s="935"/>
      <c r="Z66" s="935"/>
      <c r="AA66" s="935"/>
      <c r="AB66" s="935"/>
      <c r="AC66" s="935"/>
      <c r="AD66" s="935"/>
      <c r="AE66" s="935"/>
      <c r="AF66" s="935"/>
      <c r="AG66" s="935"/>
      <c r="AH66" s="935"/>
      <c r="AI66" s="935"/>
      <c r="AJ66" s="935"/>
      <c r="AK66" s="935"/>
      <c r="AL66" s="935"/>
      <c r="AM66" s="935"/>
      <c r="AN66" s="935"/>
      <c r="AO66" s="935"/>
      <c r="AP66" s="935"/>
      <c r="AQ66" s="935"/>
      <c r="AR66" s="935"/>
      <c r="AS66" s="935"/>
      <c r="AT66" s="935"/>
      <c r="AU66" s="935"/>
      <c r="AV66" s="935"/>
      <c r="AW66" s="935"/>
      <c r="AX66" s="935"/>
      <c r="AY66" s="935"/>
      <c r="AZ66" s="935"/>
      <c r="BA66" s="935"/>
      <c r="BB66" s="935"/>
      <c r="BC66" s="935"/>
      <c r="BD66" s="935"/>
      <c r="BE66" s="935"/>
      <c r="BF66" s="935"/>
      <c r="BG66" s="935"/>
      <c r="BH66" s="935"/>
      <c r="BI66" s="935"/>
      <c r="BJ66" s="935"/>
      <c r="BK66" s="935"/>
      <c r="BL66" s="935"/>
      <c r="BM66" s="935"/>
      <c r="BN66" s="935"/>
      <c r="BO66" s="935"/>
      <c r="BP66" s="935"/>
      <c r="BQ66" s="935"/>
      <c r="BR66" s="935"/>
      <c r="BS66" s="935"/>
      <c r="BT66" s="935"/>
    </row>
    <row r="67" spans="1:72" x14ac:dyDescent="0.25">
      <c r="A67" s="935"/>
      <c r="B67" s="935" t="s">
        <v>781</v>
      </c>
      <c r="C67" s="935"/>
      <c r="D67" s="935" t="s">
        <v>782</v>
      </c>
      <c r="E67" s="935"/>
      <c r="F67" s="935"/>
      <c r="G67" s="935"/>
      <c r="H67" s="935"/>
      <c r="I67" s="935"/>
      <c r="J67" s="935"/>
      <c r="K67" s="935"/>
      <c r="L67" s="935"/>
      <c r="M67" s="935"/>
      <c r="N67" s="935"/>
      <c r="O67" s="935"/>
      <c r="P67" s="935"/>
      <c r="Q67" s="935"/>
      <c r="R67" s="935"/>
      <c r="S67" s="935"/>
      <c r="T67" s="935"/>
      <c r="U67" s="935"/>
      <c r="V67" s="935"/>
      <c r="W67" s="935"/>
      <c r="X67" s="935"/>
      <c r="Y67" s="935"/>
      <c r="Z67" s="935"/>
      <c r="AA67" s="935"/>
      <c r="AB67" s="935"/>
      <c r="AC67" s="935"/>
      <c r="AD67" s="935"/>
      <c r="AE67" s="935"/>
      <c r="AF67" s="935"/>
      <c r="AG67" s="935"/>
      <c r="AH67" s="935"/>
      <c r="AI67" s="935"/>
      <c r="AJ67" s="935"/>
      <c r="AK67" s="935"/>
      <c r="AL67" s="935"/>
      <c r="AM67" s="935"/>
      <c r="AN67" s="935"/>
      <c r="AO67" s="935"/>
      <c r="AP67" s="935"/>
      <c r="AQ67" s="935"/>
      <c r="AR67" s="935"/>
      <c r="AS67" s="935"/>
      <c r="AT67" s="935"/>
      <c r="AU67" s="935"/>
      <c r="AV67" s="935"/>
      <c r="AW67" s="935"/>
      <c r="AX67" s="935"/>
      <c r="AY67" s="935"/>
      <c r="AZ67" s="935"/>
      <c r="BA67" s="935"/>
      <c r="BB67" s="935"/>
      <c r="BC67" s="935"/>
      <c r="BD67" s="935"/>
      <c r="BE67" s="935"/>
      <c r="BF67" s="935"/>
      <c r="BG67" s="935"/>
      <c r="BH67" s="935"/>
      <c r="BI67" s="935"/>
      <c r="BJ67" s="935"/>
      <c r="BK67" s="935"/>
      <c r="BL67" s="935"/>
      <c r="BM67" s="935"/>
      <c r="BN67" s="935"/>
      <c r="BO67" s="935"/>
      <c r="BP67" s="935"/>
      <c r="BQ67" s="935"/>
      <c r="BR67" s="935"/>
      <c r="BS67" s="935"/>
      <c r="BT67" s="935"/>
    </row>
    <row r="68" spans="1:72" x14ac:dyDescent="0.25">
      <c r="A68" s="935"/>
      <c r="B68" s="935"/>
      <c r="C68" s="935"/>
      <c r="D68" s="935"/>
      <c r="E68" s="935"/>
      <c r="F68" s="935"/>
      <c r="G68" s="935"/>
      <c r="H68" s="935"/>
      <c r="I68" s="935"/>
      <c r="J68" s="935"/>
      <c r="K68" s="935"/>
      <c r="L68" s="935"/>
      <c r="M68" s="935"/>
      <c r="N68" s="935"/>
      <c r="O68" s="935"/>
      <c r="P68" s="935"/>
      <c r="Q68" s="935"/>
      <c r="R68" s="935"/>
      <c r="S68" s="935"/>
      <c r="T68" s="935"/>
      <c r="U68" s="935"/>
      <c r="V68" s="935"/>
      <c r="W68" s="935"/>
      <c r="X68" s="935"/>
      <c r="Y68" s="935"/>
      <c r="Z68" s="935"/>
      <c r="AA68" s="935"/>
      <c r="AB68" s="935"/>
      <c r="AC68" s="935"/>
      <c r="AD68" s="935"/>
      <c r="AE68" s="935"/>
      <c r="AF68" s="935"/>
      <c r="AG68" s="935"/>
      <c r="AH68" s="935"/>
      <c r="AI68" s="935"/>
      <c r="AJ68" s="935"/>
      <c r="AK68" s="935"/>
      <c r="AL68" s="935"/>
      <c r="AM68" s="935"/>
      <c r="AN68" s="935"/>
      <c r="AO68" s="935"/>
      <c r="AP68" s="935"/>
      <c r="AQ68" s="935"/>
      <c r="AR68" s="935"/>
      <c r="AS68" s="935"/>
      <c r="AT68" s="935"/>
      <c r="AU68" s="935"/>
      <c r="AV68" s="935"/>
      <c r="AW68" s="935"/>
      <c r="AX68" s="935"/>
      <c r="AY68" s="935"/>
      <c r="AZ68" s="935"/>
      <c r="BA68" s="935"/>
      <c r="BB68" s="935"/>
      <c r="BC68" s="935"/>
      <c r="BD68" s="935"/>
      <c r="BE68" s="935"/>
      <c r="BF68" s="935"/>
      <c r="BG68" s="935"/>
      <c r="BH68" s="935"/>
      <c r="BI68" s="935"/>
      <c r="BJ68" s="935"/>
      <c r="BK68" s="935"/>
      <c r="BL68" s="935"/>
      <c r="BM68" s="935"/>
      <c r="BN68" s="935"/>
      <c r="BO68" s="935"/>
      <c r="BP68" s="935"/>
      <c r="BQ68" s="935"/>
      <c r="BR68" s="935"/>
      <c r="BS68" s="935"/>
      <c r="BT68" s="935"/>
    </row>
    <row r="69" spans="1:72" x14ac:dyDescent="0.25">
      <c r="A69" s="935"/>
      <c r="B69" s="935"/>
      <c r="C69" s="935"/>
      <c r="D69" s="935"/>
      <c r="E69" s="935"/>
      <c r="F69" s="935"/>
      <c r="G69" s="935"/>
      <c r="H69" s="935"/>
      <c r="I69" s="935"/>
      <c r="J69" s="935"/>
      <c r="K69" s="935"/>
      <c r="L69" s="935"/>
      <c r="M69" s="935"/>
      <c r="N69" s="935"/>
      <c r="O69" s="935"/>
      <c r="P69" s="935"/>
      <c r="Q69" s="935"/>
      <c r="R69" s="935"/>
      <c r="S69" s="935"/>
      <c r="T69" s="935"/>
      <c r="U69" s="935"/>
      <c r="V69" s="935"/>
      <c r="W69" s="935"/>
      <c r="X69" s="935"/>
      <c r="Y69" s="935"/>
      <c r="Z69" s="935"/>
      <c r="AA69" s="935"/>
      <c r="AB69" s="935"/>
      <c r="AC69" s="935"/>
      <c r="AD69" s="935"/>
      <c r="AE69" s="935"/>
      <c r="AF69" s="935"/>
      <c r="AG69" s="935"/>
      <c r="AH69" s="935"/>
      <c r="AI69" s="935"/>
      <c r="AJ69" s="935"/>
      <c r="AK69" s="935"/>
      <c r="AL69" s="935"/>
      <c r="AM69" s="935"/>
      <c r="AN69" s="935"/>
      <c r="AO69" s="935"/>
      <c r="AP69" s="935"/>
      <c r="AQ69" s="935"/>
      <c r="AR69" s="935"/>
      <c r="AS69" s="935"/>
      <c r="AT69" s="935"/>
      <c r="AU69" s="935"/>
      <c r="AV69" s="935"/>
      <c r="AW69" s="935"/>
      <c r="AX69" s="935"/>
      <c r="AY69" s="935"/>
      <c r="AZ69" s="935"/>
      <c r="BA69" s="935"/>
      <c r="BB69" s="935"/>
      <c r="BC69" s="935"/>
      <c r="BD69" s="935"/>
      <c r="BE69" s="935"/>
      <c r="BF69" s="935"/>
      <c r="BG69" s="935"/>
      <c r="BH69" s="935"/>
      <c r="BI69" s="935"/>
      <c r="BJ69" s="935"/>
      <c r="BK69" s="935"/>
      <c r="BL69" s="935"/>
      <c r="BM69" s="935"/>
      <c r="BN69" s="935"/>
      <c r="BO69" s="935"/>
      <c r="BP69" s="935"/>
      <c r="BQ69" s="935"/>
      <c r="BR69" s="935"/>
      <c r="BS69" s="935"/>
      <c r="BT69" s="935"/>
    </row>
    <row r="70" spans="1:72" x14ac:dyDescent="0.25">
      <c r="A70" s="935"/>
      <c r="B70" s="935"/>
      <c r="C70" s="935"/>
      <c r="D70" s="935"/>
      <c r="E70" s="935"/>
      <c r="F70" s="935"/>
      <c r="G70" s="935"/>
      <c r="H70" s="935"/>
      <c r="I70" s="935"/>
      <c r="J70" s="935"/>
      <c r="K70" s="935"/>
      <c r="L70" s="935"/>
      <c r="M70" s="935"/>
      <c r="N70" s="935"/>
      <c r="O70" s="935"/>
      <c r="P70" s="935"/>
      <c r="Q70" s="935"/>
      <c r="R70" s="935"/>
      <c r="S70" s="935"/>
      <c r="T70" s="935"/>
      <c r="U70" s="935"/>
      <c r="V70" s="935"/>
      <c r="W70" s="935"/>
      <c r="X70" s="935"/>
      <c r="Y70" s="935"/>
      <c r="Z70" s="935"/>
      <c r="AA70" s="935"/>
      <c r="AB70" s="935"/>
      <c r="AC70" s="935"/>
      <c r="AD70" s="935"/>
      <c r="AE70" s="935"/>
      <c r="AF70" s="935"/>
      <c r="AG70" s="935"/>
      <c r="AH70" s="935"/>
      <c r="AI70" s="935"/>
      <c r="AJ70" s="935"/>
      <c r="AK70" s="935"/>
      <c r="AL70" s="935"/>
      <c r="AM70" s="935"/>
      <c r="AN70" s="935"/>
      <c r="AO70" s="935"/>
      <c r="AP70" s="935"/>
      <c r="AQ70" s="935"/>
      <c r="AR70" s="935"/>
      <c r="AS70" s="935"/>
      <c r="AT70" s="935"/>
      <c r="AU70" s="935"/>
      <c r="AV70" s="935"/>
      <c r="AW70" s="935"/>
      <c r="AX70" s="935"/>
      <c r="AY70" s="935"/>
      <c r="AZ70" s="935"/>
      <c r="BA70" s="935"/>
      <c r="BB70" s="935"/>
      <c r="BC70" s="935"/>
      <c r="BD70" s="935"/>
      <c r="BE70" s="935"/>
      <c r="BF70" s="935"/>
      <c r="BG70" s="935"/>
      <c r="BH70" s="935"/>
      <c r="BI70" s="935"/>
      <c r="BJ70" s="935"/>
      <c r="BK70" s="935"/>
      <c r="BL70" s="935"/>
      <c r="BM70" s="935"/>
      <c r="BN70" s="935"/>
      <c r="BO70" s="935"/>
      <c r="BP70" s="935"/>
      <c r="BQ70" s="935"/>
      <c r="BR70" s="935"/>
      <c r="BS70" s="935"/>
      <c r="BT70" s="935"/>
    </row>
    <row r="71" spans="1:72" x14ac:dyDescent="0.25">
      <c r="A71" s="935"/>
      <c r="B71" s="935"/>
      <c r="C71" s="935"/>
      <c r="D71" s="935"/>
      <c r="E71" s="935"/>
      <c r="F71" s="935"/>
      <c r="G71" s="935"/>
      <c r="H71" s="935"/>
      <c r="I71" s="935"/>
      <c r="J71" s="935"/>
      <c r="K71" s="935"/>
      <c r="L71" s="935"/>
      <c r="M71" s="935"/>
      <c r="N71" s="935"/>
      <c r="O71" s="935"/>
      <c r="P71" s="935"/>
      <c r="Q71" s="935"/>
      <c r="R71" s="935"/>
      <c r="S71" s="935"/>
      <c r="T71" s="935"/>
      <c r="U71" s="935"/>
      <c r="V71" s="935"/>
      <c r="W71" s="935"/>
      <c r="X71" s="935"/>
      <c r="Y71" s="935"/>
      <c r="Z71" s="935"/>
      <c r="AA71" s="935"/>
      <c r="AB71" s="935"/>
      <c r="AC71" s="935"/>
      <c r="AD71" s="935"/>
      <c r="AE71" s="935"/>
      <c r="AF71" s="935"/>
      <c r="AG71" s="935"/>
      <c r="AH71" s="935"/>
      <c r="AI71" s="935"/>
      <c r="AJ71" s="935"/>
      <c r="AK71" s="935"/>
      <c r="AL71" s="935"/>
      <c r="AM71" s="935"/>
      <c r="AN71" s="935"/>
      <c r="AO71" s="935"/>
      <c r="AP71" s="935"/>
      <c r="AQ71" s="935"/>
      <c r="AR71" s="935"/>
      <c r="AS71" s="935"/>
      <c r="AT71" s="935"/>
      <c r="AU71" s="935"/>
      <c r="AV71" s="935"/>
      <c r="AW71" s="935"/>
      <c r="AX71" s="935"/>
      <c r="AY71" s="935"/>
      <c r="AZ71" s="935"/>
      <c r="BA71" s="935"/>
      <c r="BB71" s="935"/>
      <c r="BC71" s="935"/>
      <c r="BD71" s="935"/>
      <c r="BE71" s="935"/>
      <c r="BF71" s="935"/>
      <c r="BG71" s="935"/>
      <c r="BH71" s="935"/>
      <c r="BI71" s="935"/>
      <c r="BJ71" s="935"/>
      <c r="BK71" s="935"/>
      <c r="BL71" s="935"/>
      <c r="BM71" s="935"/>
      <c r="BN71" s="935"/>
      <c r="BO71" s="935"/>
      <c r="BP71" s="935"/>
      <c r="BQ71" s="935"/>
      <c r="BR71" s="935"/>
      <c r="BS71" s="935"/>
      <c r="BT71" s="935"/>
    </row>
    <row r="72" spans="1:72" x14ac:dyDescent="0.25">
      <c r="A72" s="935" t="s">
        <v>783</v>
      </c>
      <c r="B72" s="935"/>
      <c r="C72" s="935"/>
      <c r="D72" s="935"/>
      <c r="E72" s="935"/>
      <c r="F72" s="935"/>
      <c r="G72" s="935"/>
      <c r="H72" s="935"/>
      <c r="I72" s="935"/>
      <c r="J72" s="935"/>
      <c r="K72" s="935"/>
      <c r="L72" s="935"/>
      <c r="M72" s="935"/>
      <c r="N72" s="935"/>
      <c r="O72" s="935"/>
      <c r="P72" s="935"/>
      <c r="Q72" s="935"/>
      <c r="R72" s="935"/>
      <c r="S72" s="935"/>
      <c r="T72" s="935"/>
      <c r="U72" s="935"/>
      <c r="V72" s="935"/>
      <c r="W72" s="935"/>
      <c r="X72" s="935"/>
      <c r="Y72" s="935"/>
      <c r="Z72" s="935"/>
      <c r="AA72" s="935"/>
      <c r="AB72" s="935"/>
      <c r="AC72" s="935"/>
      <c r="AD72" s="935"/>
      <c r="AE72" s="935"/>
      <c r="AF72" s="935"/>
      <c r="AG72" s="935"/>
      <c r="AH72" s="935"/>
      <c r="AI72" s="935"/>
      <c r="AJ72" s="935"/>
      <c r="AK72" s="935"/>
      <c r="AL72" s="935"/>
      <c r="AM72" s="935"/>
      <c r="AN72" s="935"/>
      <c r="AO72" s="935"/>
      <c r="AP72" s="935"/>
      <c r="AQ72" s="935"/>
      <c r="AR72" s="935"/>
      <c r="AS72" s="935"/>
      <c r="AT72" s="935"/>
      <c r="AU72" s="935"/>
      <c r="AV72" s="935"/>
      <c r="AW72" s="935"/>
      <c r="AX72" s="935"/>
      <c r="AY72" s="935"/>
      <c r="AZ72" s="935"/>
      <c r="BA72" s="935"/>
      <c r="BB72" s="935"/>
      <c r="BC72" s="935"/>
      <c r="BD72" s="935"/>
      <c r="BE72" s="935"/>
      <c r="BF72" s="935"/>
      <c r="BG72" s="935"/>
      <c r="BH72" s="935"/>
      <c r="BI72" s="935"/>
      <c r="BJ72" s="935"/>
      <c r="BK72" s="935"/>
      <c r="BL72" s="935"/>
      <c r="BM72" s="935"/>
      <c r="BN72" s="935"/>
      <c r="BO72" s="935"/>
      <c r="BP72" s="935"/>
      <c r="BQ72" s="935"/>
      <c r="BR72" s="935"/>
      <c r="BS72" s="935"/>
      <c r="BT72" s="935"/>
    </row>
    <row r="73" spans="1:72" x14ac:dyDescent="0.25">
      <c r="A73" s="935"/>
      <c r="B73" s="935"/>
      <c r="C73" s="935"/>
      <c r="D73" s="935"/>
      <c r="E73" s="935"/>
      <c r="F73" s="935"/>
      <c r="G73" s="935"/>
      <c r="H73" s="935"/>
      <c r="I73" s="935"/>
      <c r="J73" s="935"/>
      <c r="K73" s="935"/>
      <c r="L73" s="935"/>
      <c r="M73" s="935"/>
      <c r="N73" s="935"/>
      <c r="O73" s="935"/>
      <c r="P73" s="935"/>
      <c r="Q73" s="935"/>
      <c r="R73" s="935"/>
      <c r="S73" s="935"/>
      <c r="T73" s="935"/>
      <c r="U73" s="935"/>
      <c r="V73" s="935"/>
      <c r="W73" s="935"/>
      <c r="X73" s="935"/>
      <c r="Y73" s="935"/>
      <c r="Z73" s="935"/>
      <c r="AA73" s="935"/>
      <c r="AB73" s="935"/>
      <c r="AC73" s="935"/>
      <c r="AD73" s="935"/>
      <c r="AE73" s="935"/>
      <c r="AF73" s="935"/>
      <c r="AG73" s="935"/>
      <c r="AH73" s="935"/>
      <c r="AI73" s="935"/>
      <c r="AJ73" s="935"/>
      <c r="AK73" s="935"/>
      <c r="AL73" s="935"/>
      <c r="AM73" s="935"/>
      <c r="AN73" s="935"/>
      <c r="AO73" s="935"/>
      <c r="AP73" s="935"/>
      <c r="AQ73" s="935"/>
      <c r="AR73" s="935"/>
      <c r="AS73" s="935"/>
      <c r="AT73" s="935"/>
      <c r="AU73" s="935"/>
      <c r="AV73" s="935"/>
      <c r="AW73" s="935"/>
      <c r="AX73" s="935"/>
      <c r="AY73" s="935"/>
      <c r="AZ73" s="935"/>
      <c r="BA73" s="935"/>
      <c r="BB73" s="935"/>
      <c r="BC73" s="935"/>
      <c r="BD73" s="935"/>
      <c r="BE73" s="935"/>
      <c r="BF73" s="935"/>
      <c r="BG73" s="935"/>
      <c r="BH73" s="935"/>
      <c r="BI73" s="935"/>
      <c r="BJ73" s="935"/>
      <c r="BK73" s="935"/>
      <c r="BL73" s="935"/>
      <c r="BM73" s="935"/>
      <c r="BN73" s="935"/>
      <c r="BO73" s="935"/>
      <c r="BP73" s="935"/>
      <c r="BQ73" s="935"/>
      <c r="BR73" s="935"/>
      <c r="BS73" s="935"/>
      <c r="BT73" s="935"/>
    </row>
    <row r="74" spans="1:72" x14ac:dyDescent="0.25">
      <c r="A74" s="935" t="s">
        <v>784</v>
      </c>
      <c r="B74" s="935"/>
      <c r="C74" s="935"/>
      <c r="D74" s="935"/>
      <c r="E74" s="935"/>
      <c r="F74" s="935"/>
      <c r="G74" s="935"/>
      <c r="H74" s="935"/>
      <c r="I74" s="935"/>
      <c r="J74" s="935"/>
      <c r="K74" s="935"/>
      <c r="L74" s="935"/>
      <c r="M74" s="935"/>
      <c r="N74" s="935"/>
      <c r="O74" s="935"/>
      <c r="P74" s="935"/>
      <c r="Q74" s="935"/>
      <c r="R74" s="935"/>
      <c r="S74" s="935"/>
      <c r="T74" s="935"/>
      <c r="U74" s="935"/>
      <c r="V74" s="935"/>
      <c r="W74" s="935"/>
      <c r="X74" s="935"/>
      <c r="Y74" s="935"/>
      <c r="Z74" s="935"/>
      <c r="AA74" s="935"/>
      <c r="AB74" s="935"/>
      <c r="AC74" s="935"/>
      <c r="AD74" s="935"/>
      <c r="AE74" s="935"/>
      <c r="AF74" s="935"/>
      <c r="AG74" s="935"/>
      <c r="AH74" s="935"/>
      <c r="AI74" s="935"/>
      <c r="AJ74" s="935"/>
      <c r="AK74" s="935"/>
      <c r="AL74" s="935"/>
      <c r="AM74" s="935"/>
      <c r="AN74" s="935"/>
      <c r="AO74" s="935"/>
      <c r="AP74" s="935"/>
      <c r="AQ74" s="935"/>
      <c r="AR74" s="935"/>
      <c r="AS74" s="935"/>
      <c r="AT74" s="935"/>
      <c r="AU74" s="935"/>
      <c r="AV74" s="935"/>
      <c r="AW74" s="935"/>
      <c r="AX74" s="935"/>
      <c r="AY74" s="935"/>
      <c r="AZ74" s="935"/>
      <c r="BA74" s="935"/>
      <c r="BB74" s="935"/>
      <c r="BC74" s="935"/>
      <c r="BD74" s="935"/>
      <c r="BE74" s="935"/>
      <c r="BF74" s="935"/>
      <c r="BG74" s="935"/>
      <c r="BH74" s="935"/>
      <c r="BI74" s="935"/>
      <c r="BJ74" s="935"/>
      <c r="BK74" s="935"/>
      <c r="BL74" s="935"/>
      <c r="BM74" s="935"/>
      <c r="BN74" s="935"/>
      <c r="BO74" s="935"/>
      <c r="BP74" s="935"/>
      <c r="BQ74" s="935"/>
      <c r="BR74" s="935"/>
      <c r="BS74" s="935"/>
      <c r="BT74" s="935"/>
    </row>
    <row r="75" spans="1:72" x14ac:dyDescent="0.25">
      <c r="A75" s="935" t="s">
        <v>785</v>
      </c>
      <c r="B75" s="935"/>
      <c r="C75" s="935"/>
      <c r="D75" s="935"/>
      <c r="E75" s="935"/>
      <c r="F75" s="935"/>
      <c r="G75" s="935"/>
      <c r="H75" s="935"/>
      <c r="I75" s="935"/>
      <c r="J75" s="935"/>
      <c r="K75" s="935"/>
      <c r="L75" s="935"/>
      <c r="M75" s="935"/>
      <c r="N75" s="935"/>
      <c r="O75" s="935"/>
      <c r="P75" s="935"/>
      <c r="Q75" s="935"/>
      <c r="R75" s="935"/>
      <c r="S75" s="935"/>
      <c r="T75" s="935"/>
      <c r="U75" s="935"/>
      <c r="V75" s="935"/>
      <c r="W75" s="935"/>
      <c r="X75" s="935"/>
      <c r="Y75" s="935"/>
      <c r="Z75" s="935"/>
      <c r="AA75" s="935"/>
      <c r="AB75" s="935"/>
      <c r="AC75" s="935"/>
      <c r="AD75" s="935"/>
      <c r="AE75" s="935"/>
      <c r="AF75" s="935"/>
      <c r="AG75" s="935"/>
      <c r="AH75" s="935"/>
      <c r="AI75" s="935"/>
      <c r="AJ75" s="935"/>
      <c r="AK75" s="935"/>
      <c r="AL75" s="935"/>
      <c r="AM75" s="935"/>
      <c r="AN75" s="935"/>
      <c r="AO75" s="935"/>
      <c r="AP75" s="935"/>
      <c r="AQ75" s="935"/>
      <c r="AR75" s="935"/>
      <c r="AS75" s="935"/>
      <c r="AT75" s="935"/>
      <c r="AU75" s="935"/>
      <c r="AV75" s="935"/>
      <c r="AW75" s="935"/>
      <c r="AX75" s="935"/>
      <c r="AY75" s="935"/>
      <c r="AZ75" s="935"/>
      <c r="BA75" s="935"/>
      <c r="BB75" s="935"/>
      <c r="BC75" s="935"/>
      <c r="BD75" s="935"/>
      <c r="BE75" s="935"/>
      <c r="BF75" s="935"/>
      <c r="BG75" s="935"/>
      <c r="BH75" s="935"/>
      <c r="BI75" s="935"/>
      <c r="BJ75" s="935"/>
      <c r="BK75" s="935"/>
      <c r="BL75" s="935"/>
      <c r="BM75" s="935"/>
      <c r="BN75" s="935"/>
      <c r="BO75" s="935"/>
      <c r="BP75" s="935"/>
      <c r="BQ75" s="935"/>
      <c r="BR75" s="935"/>
      <c r="BS75" s="935"/>
      <c r="BT75" s="935"/>
    </row>
    <row r="76" spans="1:72" x14ac:dyDescent="0.25">
      <c r="A76" s="935"/>
      <c r="B76" s="935"/>
      <c r="C76" s="935"/>
      <c r="D76" s="935"/>
      <c r="E76" s="935"/>
      <c r="F76" s="935"/>
      <c r="G76" s="935"/>
      <c r="H76" s="935"/>
      <c r="I76" s="935"/>
      <c r="J76" s="935"/>
      <c r="K76" s="935"/>
      <c r="L76" s="935"/>
      <c r="M76" s="935"/>
      <c r="N76" s="935"/>
      <c r="O76" s="935"/>
      <c r="P76" s="935"/>
      <c r="Q76" s="935"/>
      <c r="R76" s="935"/>
      <c r="S76" s="935"/>
      <c r="T76" s="935"/>
      <c r="U76" s="935"/>
      <c r="V76" s="935"/>
      <c r="W76" s="935"/>
      <c r="X76" s="935"/>
      <c r="Y76" s="935"/>
      <c r="Z76" s="935"/>
      <c r="AA76" s="935"/>
      <c r="AB76" s="935"/>
      <c r="AC76" s="935"/>
      <c r="AD76" s="935"/>
      <c r="AE76" s="935" t="s">
        <v>786</v>
      </c>
      <c r="AF76" s="935"/>
      <c r="AG76" s="935"/>
      <c r="AH76" s="935"/>
      <c r="AI76" s="935"/>
      <c r="AJ76" s="935"/>
      <c r="AK76" s="935"/>
      <c r="AL76" s="935"/>
      <c r="AM76" s="935"/>
      <c r="AN76" s="935"/>
      <c r="AO76" s="935"/>
      <c r="AP76" s="935"/>
      <c r="AQ76" s="935"/>
      <c r="AR76" s="935"/>
      <c r="AS76" s="935"/>
      <c r="AT76" s="935"/>
      <c r="AU76" s="935"/>
      <c r="AV76" s="935"/>
      <c r="AW76" s="935"/>
      <c r="AX76" s="935"/>
      <c r="AY76" s="935"/>
      <c r="AZ76" s="935"/>
      <c r="BA76" s="935"/>
      <c r="BB76" s="935"/>
      <c r="BC76" s="935"/>
      <c r="BD76" s="935"/>
      <c r="BE76" s="935"/>
      <c r="BF76" s="935"/>
      <c r="BG76" s="935"/>
      <c r="BH76" s="935"/>
      <c r="BI76" s="935"/>
      <c r="BJ76" s="935"/>
      <c r="BK76" s="935"/>
      <c r="BL76" s="935"/>
      <c r="BM76" s="935"/>
      <c r="BN76" s="935"/>
      <c r="BO76" s="935"/>
      <c r="BP76" s="935"/>
      <c r="BQ76" s="935"/>
      <c r="BR76" s="935"/>
      <c r="BS76" s="935"/>
      <c r="BT76" s="935"/>
    </row>
    <row r="77" spans="1:72" x14ac:dyDescent="0.25">
      <c r="A77" s="935" t="s">
        <v>787</v>
      </c>
      <c r="B77" s="935">
        <v>2007</v>
      </c>
      <c r="C77" s="935">
        <v>2008</v>
      </c>
      <c r="D77" s="935">
        <v>2009</v>
      </c>
      <c r="E77" s="935">
        <v>2010</v>
      </c>
      <c r="F77" s="935">
        <v>2011</v>
      </c>
      <c r="G77" s="935">
        <v>2012</v>
      </c>
      <c r="H77" s="935">
        <v>2013</v>
      </c>
      <c r="I77" s="935">
        <v>2014</v>
      </c>
      <c r="J77" s="935">
        <v>2015</v>
      </c>
      <c r="K77" s="935">
        <v>2016</v>
      </c>
      <c r="L77" s="935">
        <v>2017</v>
      </c>
      <c r="M77" s="935">
        <v>2018</v>
      </c>
      <c r="N77" s="935">
        <v>2019</v>
      </c>
      <c r="O77" s="935">
        <v>2020</v>
      </c>
      <c r="P77" s="935">
        <v>2021</v>
      </c>
      <c r="Q77" s="935">
        <v>2022</v>
      </c>
      <c r="R77" s="935">
        <v>2023</v>
      </c>
      <c r="S77" s="935">
        <v>2024</v>
      </c>
      <c r="T77" s="935">
        <v>2025</v>
      </c>
      <c r="U77" s="935">
        <v>2026</v>
      </c>
      <c r="V77" s="935">
        <v>2027</v>
      </c>
      <c r="W77" s="935">
        <v>2028</v>
      </c>
      <c r="X77" s="935">
        <v>2029</v>
      </c>
      <c r="Y77" s="935">
        <v>2030</v>
      </c>
      <c r="Z77" s="935">
        <v>2031</v>
      </c>
      <c r="AA77" s="935">
        <v>2032</v>
      </c>
      <c r="AB77" s="935">
        <v>2033</v>
      </c>
      <c r="AC77" s="935">
        <v>2034</v>
      </c>
      <c r="AD77" s="935">
        <v>2035</v>
      </c>
      <c r="AE77" s="935">
        <v>2035</v>
      </c>
      <c r="AF77" s="935"/>
      <c r="AG77" s="935"/>
      <c r="AH77" s="935"/>
      <c r="AI77" s="935"/>
      <c r="AJ77" s="935"/>
      <c r="AK77" s="935"/>
      <c r="AL77" s="935"/>
      <c r="AM77" s="935"/>
      <c r="AN77" s="935"/>
      <c r="AO77" s="935"/>
      <c r="AP77" s="935"/>
      <c r="AQ77" s="935"/>
      <c r="AR77" s="935"/>
      <c r="AS77" s="935"/>
      <c r="AT77" s="935"/>
      <c r="AU77" s="935"/>
      <c r="AV77" s="935"/>
      <c r="AW77" s="935"/>
      <c r="AX77" s="935"/>
      <c r="AY77" s="935"/>
      <c r="AZ77" s="935"/>
      <c r="BA77" s="935"/>
      <c r="BB77" s="935"/>
      <c r="BC77" s="935"/>
      <c r="BD77" s="935"/>
      <c r="BE77" s="935"/>
      <c r="BF77" s="935"/>
      <c r="BG77" s="935"/>
      <c r="BH77" s="935"/>
      <c r="BI77" s="935"/>
      <c r="BJ77" s="935"/>
      <c r="BK77" s="935"/>
      <c r="BL77" s="935"/>
      <c r="BM77" s="935"/>
      <c r="BN77" s="935"/>
      <c r="BO77" s="935"/>
      <c r="BP77" s="935"/>
      <c r="BQ77" s="935"/>
      <c r="BR77" s="935"/>
      <c r="BS77" s="935"/>
      <c r="BT77" s="935"/>
    </row>
    <row r="78" spans="1:72" x14ac:dyDescent="0.25">
      <c r="A78" s="935"/>
      <c r="B78" s="935"/>
      <c r="C78" s="935"/>
      <c r="D78" s="935"/>
      <c r="E78" s="935"/>
      <c r="F78" s="935"/>
      <c r="G78" s="935"/>
      <c r="H78" s="935"/>
      <c r="I78" s="935"/>
      <c r="J78" s="935"/>
      <c r="K78" s="935"/>
      <c r="L78" s="935"/>
      <c r="M78" s="935"/>
      <c r="N78" s="935"/>
      <c r="O78" s="935"/>
      <c r="P78" s="935"/>
      <c r="Q78" s="935"/>
      <c r="R78" s="935"/>
      <c r="S78" s="935"/>
      <c r="T78" s="935"/>
      <c r="U78" s="935"/>
      <c r="V78" s="935"/>
      <c r="W78" s="935"/>
      <c r="X78" s="935"/>
      <c r="Y78" s="935"/>
      <c r="Z78" s="935"/>
      <c r="AA78" s="935"/>
      <c r="AB78" s="935"/>
      <c r="AC78" s="935"/>
      <c r="AD78" s="935"/>
      <c r="AE78" s="935"/>
      <c r="AF78" s="935"/>
      <c r="AG78" s="935"/>
      <c r="AH78" s="935"/>
      <c r="AI78" s="935"/>
      <c r="AJ78" s="935"/>
      <c r="AK78" s="935"/>
      <c r="AL78" s="935"/>
      <c r="AM78" s="935"/>
      <c r="AN78" s="935"/>
      <c r="AO78" s="935"/>
      <c r="AP78" s="935"/>
      <c r="AQ78" s="935"/>
      <c r="AR78" s="935"/>
      <c r="AS78" s="935"/>
      <c r="AT78" s="935"/>
      <c r="AU78" s="935"/>
      <c r="AV78" s="935"/>
      <c r="AW78" s="935"/>
      <c r="AX78" s="935"/>
      <c r="AY78" s="935"/>
      <c r="AZ78" s="935"/>
      <c r="BA78" s="935"/>
      <c r="BB78" s="935"/>
      <c r="BC78" s="935"/>
      <c r="BD78" s="935"/>
      <c r="BE78" s="935"/>
      <c r="BF78" s="935"/>
      <c r="BG78" s="935"/>
      <c r="BH78" s="935"/>
      <c r="BI78" s="935"/>
      <c r="BJ78" s="935"/>
      <c r="BK78" s="935"/>
      <c r="BL78" s="935"/>
      <c r="BM78" s="935"/>
      <c r="BN78" s="935"/>
      <c r="BO78" s="935"/>
      <c r="BP78" s="935"/>
      <c r="BQ78" s="935"/>
      <c r="BR78" s="935"/>
      <c r="BS78" s="935"/>
      <c r="BT78" s="935"/>
    </row>
    <row r="79" spans="1:72" x14ac:dyDescent="0.25">
      <c r="A79" s="935" t="s">
        <v>473</v>
      </c>
      <c r="B79" s="935"/>
      <c r="C79" s="935"/>
      <c r="D79" s="935"/>
      <c r="E79" s="935"/>
      <c r="F79" s="935"/>
      <c r="G79" s="935"/>
      <c r="H79" s="935"/>
      <c r="I79" s="935"/>
      <c r="J79" s="935"/>
      <c r="K79" s="935"/>
      <c r="L79" s="935"/>
      <c r="M79" s="935"/>
      <c r="N79" s="935"/>
      <c r="O79" s="935"/>
      <c r="P79" s="935"/>
      <c r="Q79" s="935"/>
      <c r="R79" s="935"/>
      <c r="S79" s="935"/>
      <c r="T79" s="935"/>
      <c r="U79" s="935"/>
      <c r="V79" s="935"/>
      <c r="W79" s="935"/>
      <c r="X79" s="935"/>
      <c r="Y79" s="935"/>
      <c r="Z79" s="935"/>
      <c r="AA79" s="935"/>
      <c r="AB79" s="935"/>
      <c r="AC79" s="935"/>
      <c r="AD79" s="935"/>
      <c r="AE79" s="935"/>
      <c r="AF79" s="935"/>
      <c r="AG79" s="935"/>
      <c r="AH79" s="935"/>
      <c r="AI79" s="935"/>
      <c r="AJ79" s="935"/>
      <c r="AK79" s="935"/>
      <c r="AL79" s="935"/>
      <c r="AM79" s="935"/>
      <c r="AN79" s="935"/>
      <c r="AO79" s="935"/>
      <c r="AP79" s="935"/>
      <c r="AQ79" s="935"/>
      <c r="AR79" s="935"/>
      <c r="AS79" s="935"/>
      <c r="AT79" s="935"/>
      <c r="AU79" s="935"/>
      <c r="AV79" s="935"/>
      <c r="AW79" s="935"/>
      <c r="AX79" s="935"/>
      <c r="AY79" s="935"/>
      <c r="AZ79" s="935"/>
      <c r="BA79" s="935"/>
      <c r="BB79" s="935"/>
      <c r="BC79" s="935"/>
      <c r="BD79" s="935"/>
      <c r="BE79" s="935"/>
      <c r="BF79" s="935"/>
      <c r="BG79" s="935"/>
      <c r="BH79" s="935"/>
      <c r="BI79" s="935"/>
      <c r="BJ79" s="935"/>
      <c r="BK79" s="935"/>
      <c r="BL79" s="935"/>
      <c r="BM79" s="935"/>
      <c r="BN79" s="935"/>
      <c r="BO79" s="935"/>
      <c r="BP79" s="935"/>
      <c r="BQ79" s="935"/>
      <c r="BR79" s="935"/>
      <c r="BS79" s="935"/>
      <c r="BT79" s="935"/>
    </row>
    <row r="80" spans="1:72" x14ac:dyDescent="0.25">
      <c r="A80" s="935" t="s">
        <v>609</v>
      </c>
      <c r="B80" s="935">
        <v>26.25</v>
      </c>
      <c r="C80" s="935">
        <v>29.35</v>
      </c>
      <c r="D80" s="935">
        <v>24.9</v>
      </c>
      <c r="E80" s="935">
        <v>24.01</v>
      </c>
      <c r="F80" s="935">
        <v>24.09</v>
      </c>
      <c r="G80" s="935">
        <v>25.25</v>
      </c>
      <c r="H80" s="935">
        <v>26.47</v>
      </c>
      <c r="I80" s="935">
        <v>27.44</v>
      </c>
      <c r="J80" s="935">
        <v>28.03</v>
      </c>
      <c r="K80" s="935">
        <v>28.67</v>
      </c>
      <c r="L80" s="935">
        <v>29.21</v>
      </c>
      <c r="M80" s="935">
        <v>29.8</v>
      </c>
      <c r="N80" s="935">
        <v>30.06</v>
      </c>
      <c r="O80" s="935">
        <v>30.29</v>
      </c>
      <c r="P80" s="935">
        <v>30.53</v>
      </c>
      <c r="Q80" s="935">
        <v>30.73</v>
      </c>
      <c r="R80" s="935">
        <v>31.01</v>
      </c>
      <c r="S80" s="935">
        <v>31.28</v>
      </c>
      <c r="T80" s="935">
        <v>31.55</v>
      </c>
      <c r="U80" s="935">
        <v>31.7</v>
      </c>
      <c r="V80" s="935">
        <v>31.98</v>
      </c>
      <c r="W80" s="935">
        <v>32.229999999999997</v>
      </c>
      <c r="X80" s="935">
        <v>32.590000000000003</v>
      </c>
      <c r="Y80" s="935">
        <v>32.81</v>
      </c>
      <c r="Z80" s="935">
        <v>33.17</v>
      </c>
      <c r="AA80" s="935">
        <v>33.51</v>
      </c>
      <c r="AB80" s="935">
        <v>33.9</v>
      </c>
      <c r="AC80" s="935">
        <v>34.26</v>
      </c>
      <c r="AD80" s="935">
        <v>34.65</v>
      </c>
      <c r="AE80" s="974">
        <v>6.0000000000000001E-3</v>
      </c>
      <c r="AF80" s="935"/>
      <c r="AG80" s="935"/>
      <c r="AH80" s="935"/>
      <c r="AI80" s="935"/>
      <c r="AJ80" s="935"/>
      <c r="AK80" s="935"/>
      <c r="AL80" s="935"/>
      <c r="AM80" s="935"/>
      <c r="AN80" s="935"/>
      <c r="AO80" s="935"/>
      <c r="AP80" s="935"/>
      <c r="AQ80" s="935"/>
      <c r="AR80" s="935"/>
      <c r="AS80" s="935"/>
      <c r="AT80" s="935"/>
      <c r="AU80" s="935"/>
      <c r="AV80" s="935"/>
      <c r="AW80" s="935"/>
      <c r="AX80" s="935"/>
      <c r="AY80" s="935"/>
      <c r="AZ80" s="935"/>
      <c r="BA80" s="935"/>
      <c r="BB80" s="935"/>
      <c r="BC80" s="935"/>
      <c r="BD80" s="935"/>
      <c r="BE80" s="935"/>
      <c r="BF80" s="935"/>
      <c r="BG80" s="935"/>
      <c r="BH80" s="935"/>
      <c r="BI80" s="935"/>
      <c r="BJ80" s="935"/>
      <c r="BK80" s="935"/>
      <c r="BL80" s="935"/>
      <c r="BM80" s="935"/>
      <c r="BN80" s="935"/>
      <c r="BO80" s="935"/>
      <c r="BP80" s="935"/>
      <c r="BQ80" s="935"/>
      <c r="BR80" s="935"/>
      <c r="BS80" s="935"/>
      <c r="BT80" s="935"/>
    </row>
    <row r="81" spans="1:72" x14ac:dyDescent="0.25">
      <c r="A81" s="935" t="s">
        <v>610</v>
      </c>
      <c r="B81" s="935">
        <v>20.3</v>
      </c>
      <c r="C81" s="935">
        <v>24.47</v>
      </c>
      <c r="D81" s="935">
        <v>17.98</v>
      </c>
      <c r="E81" s="935">
        <v>17.57</v>
      </c>
      <c r="F81" s="935">
        <v>17.72</v>
      </c>
      <c r="G81" s="935">
        <v>18.84</v>
      </c>
      <c r="H81" s="935">
        <v>19.86</v>
      </c>
      <c r="I81" s="935">
        <v>20.58</v>
      </c>
      <c r="J81" s="935">
        <v>21.08</v>
      </c>
      <c r="K81" s="935">
        <v>22</v>
      </c>
      <c r="L81" s="935">
        <v>22.66</v>
      </c>
      <c r="M81" s="935">
        <v>23.32</v>
      </c>
      <c r="N81" s="935">
        <v>23.74</v>
      </c>
      <c r="O81" s="935">
        <v>24.1</v>
      </c>
      <c r="P81" s="935">
        <v>24.24</v>
      </c>
      <c r="Q81" s="935">
        <v>24.44</v>
      </c>
      <c r="R81" s="935">
        <v>24.76</v>
      </c>
      <c r="S81" s="935">
        <v>24.94</v>
      </c>
      <c r="T81" s="935">
        <v>25.23</v>
      </c>
      <c r="U81" s="935">
        <v>25.5</v>
      </c>
      <c r="V81" s="935">
        <v>25.72</v>
      </c>
      <c r="W81" s="935">
        <v>26.04</v>
      </c>
      <c r="X81" s="935">
        <v>26.44</v>
      </c>
      <c r="Y81" s="935">
        <v>26.61</v>
      </c>
      <c r="Z81" s="935">
        <v>27.05</v>
      </c>
      <c r="AA81" s="935">
        <v>27.45</v>
      </c>
      <c r="AB81" s="935">
        <v>27.82</v>
      </c>
      <c r="AC81" s="935">
        <v>28.24</v>
      </c>
      <c r="AD81" s="935">
        <v>28.66</v>
      </c>
      <c r="AE81" s="974">
        <v>6.0000000000000001E-3</v>
      </c>
      <c r="AF81" s="935"/>
      <c r="AG81" s="935"/>
      <c r="AH81" s="935"/>
      <c r="AI81" s="935"/>
      <c r="AJ81" s="935"/>
      <c r="AK81" s="935"/>
      <c r="AL81" s="935"/>
      <c r="AM81" s="935"/>
      <c r="AN81" s="935"/>
      <c r="AO81" s="935"/>
      <c r="AP81" s="935"/>
      <c r="AQ81" s="935"/>
      <c r="AR81" s="935"/>
      <c r="AS81" s="935"/>
      <c r="AT81" s="935"/>
      <c r="AU81" s="935"/>
      <c r="AV81" s="935"/>
      <c r="AW81" s="935"/>
      <c r="AX81" s="935"/>
      <c r="AY81" s="935"/>
      <c r="AZ81" s="935"/>
      <c r="BA81" s="935"/>
      <c r="BB81" s="935"/>
      <c r="BC81" s="935"/>
      <c r="BD81" s="935"/>
      <c r="BE81" s="935"/>
      <c r="BF81" s="935"/>
      <c r="BG81" s="935"/>
      <c r="BH81" s="935"/>
      <c r="BI81" s="935"/>
      <c r="BJ81" s="935"/>
      <c r="BK81" s="935"/>
      <c r="BL81" s="935"/>
      <c r="BM81" s="935"/>
      <c r="BN81" s="935"/>
      <c r="BO81" s="935"/>
      <c r="BP81" s="935"/>
      <c r="BQ81" s="935"/>
      <c r="BR81" s="935"/>
      <c r="BS81" s="935"/>
      <c r="BT81" s="935"/>
    </row>
    <row r="82" spans="1:72" x14ac:dyDescent="0.25">
      <c r="A82" s="935" t="s">
        <v>510</v>
      </c>
      <c r="B82" s="935">
        <v>12.94</v>
      </c>
      <c r="C82" s="935">
        <v>13.48</v>
      </c>
      <c r="D82" s="935">
        <v>11.39</v>
      </c>
      <c r="E82" s="935">
        <v>10.89</v>
      </c>
      <c r="F82" s="935">
        <v>11.78</v>
      </c>
      <c r="G82" s="935">
        <v>11.87</v>
      </c>
      <c r="H82" s="935">
        <v>11.48</v>
      </c>
      <c r="I82" s="935">
        <v>11.41</v>
      </c>
      <c r="J82" s="935">
        <v>11.56</v>
      </c>
      <c r="K82" s="935">
        <v>11.65</v>
      </c>
      <c r="L82" s="935">
        <v>11.69</v>
      </c>
      <c r="M82" s="935">
        <v>11.76</v>
      </c>
      <c r="N82" s="935">
        <v>11.83</v>
      </c>
      <c r="O82" s="935">
        <v>11.95</v>
      </c>
      <c r="P82" s="935">
        <v>12.07</v>
      </c>
      <c r="Q82" s="935">
        <v>12.26</v>
      </c>
      <c r="R82" s="935">
        <v>12.29</v>
      </c>
      <c r="S82" s="935">
        <v>12.2</v>
      </c>
      <c r="T82" s="935">
        <v>12.29</v>
      </c>
      <c r="U82" s="935">
        <v>12.46</v>
      </c>
      <c r="V82" s="935">
        <v>12.66</v>
      </c>
      <c r="W82" s="935">
        <v>12.9</v>
      </c>
      <c r="X82" s="935">
        <v>13.16</v>
      </c>
      <c r="Y82" s="935">
        <v>13.44</v>
      </c>
      <c r="Z82" s="935">
        <v>13.78</v>
      </c>
      <c r="AA82" s="935">
        <v>13.93</v>
      </c>
      <c r="AB82" s="935">
        <v>14.03</v>
      </c>
      <c r="AC82" s="935">
        <v>14.25</v>
      </c>
      <c r="AD82" s="935">
        <v>14.4</v>
      </c>
      <c r="AE82" s="974">
        <v>2E-3</v>
      </c>
      <c r="AF82" s="935"/>
      <c r="AG82" s="935"/>
      <c r="AH82" s="935"/>
      <c r="AI82" s="935"/>
      <c r="AJ82" s="935"/>
      <c r="AK82" s="935"/>
      <c r="AL82" s="935"/>
      <c r="AM82" s="935"/>
      <c r="AN82" s="935"/>
      <c r="AO82" s="935"/>
      <c r="AP82" s="935"/>
      <c r="AQ82" s="935"/>
      <c r="AR82" s="935"/>
      <c r="AS82" s="935"/>
      <c r="AT82" s="935"/>
      <c r="AU82" s="935"/>
      <c r="AV82" s="935"/>
      <c r="AW82" s="935"/>
      <c r="AX82" s="935"/>
      <c r="AY82" s="935"/>
      <c r="AZ82" s="935"/>
      <c r="BA82" s="935"/>
      <c r="BB82" s="935"/>
      <c r="BC82" s="935"/>
      <c r="BD82" s="935"/>
      <c r="BE82" s="935"/>
      <c r="BF82" s="935"/>
      <c r="BG82" s="935"/>
      <c r="BH82" s="935"/>
      <c r="BI82" s="935"/>
      <c r="BJ82" s="935"/>
      <c r="BK82" s="935"/>
      <c r="BL82" s="935"/>
      <c r="BM82" s="935"/>
      <c r="BN82" s="935"/>
      <c r="BO82" s="935"/>
      <c r="BP82" s="935"/>
      <c r="BQ82" s="935"/>
      <c r="BR82" s="935"/>
      <c r="BS82" s="935"/>
      <c r="BT82" s="935"/>
    </row>
    <row r="83" spans="1:72" x14ac:dyDescent="0.25">
      <c r="A83" s="935" t="s">
        <v>479</v>
      </c>
      <c r="B83" s="935">
        <v>31.82</v>
      </c>
      <c r="C83" s="935">
        <v>33.29</v>
      </c>
      <c r="D83" s="935">
        <v>32.33</v>
      </c>
      <c r="E83" s="935">
        <v>30.94</v>
      </c>
      <c r="F83" s="935">
        <v>29.9</v>
      </c>
      <c r="G83" s="935">
        <v>31.08</v>
      </c>
      <c r="H83" s="935">
        <v>31.47</v>
      </c>
      <c r="I83" s="935">
        <v>31.49</v>
      </c>
      <c r="J83" s="935">
        <v>31.43</v>
      </c>
      <c r="K83" s="935">
        <v>31.64</v>
      </c>
      <c r="L83" s="935">
        <v>31.8</v>
      </c>
      <c r="M83" s="935">
        <v>31.78</v>
      </c>
      <c r="N83" s="935">
        <v>31.68</v>
      </c>
      <c r="O83" s="935">
        <v>31.84</v>
      </c>
      <c r="P83" s="935">
        <v>32.01</v>
      </c>
      <c r="Q83" s="935">
        <v>32.08</v>
      </c>
      <c r="R83" s="935">
        <v>32.200000000000003</v>
      </c>
      <c r="S83" s="935">
        <v>32.28</v>
      </c>
      <c r="T83" s="935">
        <v>32.26</v>
      </c>
      <c r="U83" s="935">
        <v>32.4</v>
      </c>
      <c r="V83" s="935">
        <v>32.57</v>
      </c>
      <c r="W83" s="935">
        <v>32.729999999999997</v>
      </c>
      <c r="X83" s="935">
        <v>33.130000000000003</v>
      </c>
      <c r="Y83" s="935">
        <v>33.46</v>
      </c>
      <c r="Z83" s="935">
        <v>33.81</v>
      </c>
      <c r="AA83" s="935">
        <v>34.11</v>
      </c>
      <c r="AB83" s="935">
        <v>34.26</v>
      </c>
      <c r="AC83" s="935">
        <v>34.49</v>
      </c>
      <c r="AD83" s="935">
        <v>34.71</v>
      </c>
      <c r="AE83" s="974">
        <v>2E-3</v>
      </c>
      <c r="AF83" s="935"/>
      <c r="AG83" s="935"/>
      <c r="AH83" s="935"/>
      <c r="AI83" s="935"/>
      <c r="AJ83" s="935"/>
      <c r="AK83" s="935"/>
      <c r="AL83" s="935"/>
      <c r="AM83" s="935"/>
      <c r="AN83" s="935"/>
      <c r="AO83" s="935"/>
      <c r="AP83" s="935"/>
      <c r="AQ83" s="935"/>
      <c r="AR83" s="935"/>
      <c r="AS83" s="935"/>
      <c r="AT83" s="935"/>
      <c r="AU83" s="935"/>
      <c r="AV83" s="935"/>
      <c r="AW83" s="935"/>
      <c r="AX83" s="935"/>
      <c r="AY83" s="935"/>
      <c r="AZ83" s="935"/>
      <c r="BA83" s="935"/>
      <c r="BB83" s="935"/>
      <c r="BC83" s="935"/>
      <c r="BD83" s="935"/>
      <c r="BE83" s="935"/>
      <c r="BF83" s="935"/>
      <c r="BG83" s="935"/>
      <c r="BH83" s="935"/>
      <c r="BI83" s="935"/>
      <c r="BJ83" s="935"/>
      <c r="BK83" s="935"/>
      <c r="BL83" s="935"/>
      <c r="BM83" s="935"/>
      <c r="BN83" s="935"/>
      <c r="BO83" s="935"/>
      <c r="BP83" s="935"/>
      <c r="BQ83" s="935"/>
      <c r="BR83" s="935"/>
      <c r="BS83" s="935"/>
      <c r="BT83" s="935"/>
    </row>
    <row r="84" spans="1:72" x14ac:dyDescent="0.25">
      <c r="A84" s="935"/>
      <c r="B84" s="935"/>
      <c r="C84" s="935"/>
      <c r="D84" s="935"/>
      <c r="E84" s="935"/>
      <c r="F84" s="935"/>
      <c r="G84" s="935"/>
      <c r="H84" s="935"/>
      <c r="I84" s="935"/>
      <c r="J84" s="935"/>
      <c r="K84" s="935"/>
      <c r="L84" s="935"/>
      <c r="M84" s="935"/>
      <c r="N84" s="935"/>
      <c r="O84" s="935"/>
      <c r="P84" s="935"/>
      <c r="Q84" s="935"/>
      <c r="R84" s="935"/>
      <c r="S84" s="935"/>
      <c r="T84" s="935"/>
      <c r="U84" s="935"/>
      <c r="V84" s="935"/>
      <c r="W84" s="935"/>
      <c r="X84" s="935"/>
      <c r="Y84" s="935"/>
      <c r="Z84" s="935"/>
      <c r="AA84" s="935"/>
      <c r="AB84" s="935"/>
      <c r="AC84" s="935"/>
      <c r="AD84" s="935"/>
      <c r="AE84" s="935"/>
      <c r="AF84" s="935"/>
      <c r="AG84" s="935"/>
      <c r="AH84" s="935"/>
      <c r="AI84" s="935"/>
      <c r="AJ84" s="935"/>
      <c r="AK84" s="935"/>
      <c r="AL84" s="935"/>
      <c r="AM84" s="935"/>
      <c r="AN84" s="935"/>
      <c r="AO84" s="935"/>
      <c r="AP84" s="935"/>
      <c r="AQ84" s="935"/>
      <c r="AR84" s="935"/>
      <c r="AS84" s="935"/>
      <c r="AT84" s="935"/>
      <c r="AU84" s="935"/>
      <c r="AV84" s="935"/>
      <c r="AW84" s="935"/>
      <c r="AX84" s="935"/>
      <c r="AY84" s="935"/>
      <c r="AZ84" s="935"/>
      <c r="BA84" s="935"/>
      <c r="BB84" s="935"/>
      <c r="BC84" s="935"/>
      <c r="BD84" s="935"/>
      <c r="BE84" s="935"/>
      <c r="BF84" s="935"/>
      <c r="BG84" s="935"/>
      <c r="BH84" s="935"/>
      <c r="BI84" s="935"/>
      <c r="BJ84" s="935"/>
      <c r="BK84" s="935"/>
      <c r="BL84" s="935"/>
      <c r="BM84" s="935"/>
      <c r="BN84" s="935"/>
      <c r="BO84" s="935"/>
      <c r="BP84" s="935"/>
      <c r="BQ84" s="935"/>
      <c r="BR84" s="935"/>
      <c r="BS84" s="935"/>
      <c r="BT84" s="935"/>
    </row>
    <row r="85" spans="1:72" x14ac:dyDescent="0.25">
      <c r="A85" s="935" t="s">
        <v>480</v>
      </c>
      <c r="B85" s="935"/>
      <c r="C85" s="935"/>
      <c r="D85" s="935"/>
      <c r="E85" s="935"/>
      <c r="F85" s="935"/>
      <c r="G85" s="935"/>
      <c r="H85" s="935"/>
      <c r="I85" s="935"/>
      <c r="J85" s="935"/>
      <c r="K85" s="935"/>
      <c r="L85" s="935"/>
      <c r="M85" s="935"/>
      <c r="N85" s="935"/>
      <c r="O85" s="935"/>
      <c r="P85" s="935"/>
      <c r="Q85" s="935"/>
      <c r="R85" s="935"/>
      <c r="S85" s="935"/>
      <c r="T85" s="935"/>
      <c r="U85" s="935"/>
      <c r="V85" s="935"/>
      <c r="W85" s="935"/>
      <c r="X85" s="935"/>
      <c r="Y85" s="935"/>
      <c r="Z85" s="935"/>
      <c r="AA85" s="935"/>
      <c r="AB85" s="935"/>
      <c r="AC85" s="935"/>
      <c r="AD85" s="935"/>
      <c r="AE85" s="935"/>
      <c r="AF85" s="935"/>
      <c r="AG85" s="935"/>
      <c r="AH85" s="935"/>
      <c r="AI85" s="935"/>
      <c r="AJ85" s="935"/>
      <c r="AK85" s="935"/>
      <c r="AL85" s="935"/>
      <c r="AM85" s="935"/>
      <c r="AN85" s="935"/>
      <c r="AO85" s="935"/>
      <c r="AP85" s="935"/>
      <c r="AQ85" s="935"/>
      <c r="AR85" s="935"/>
      <c r="AS85" s="935"/>
      <c r="AT85" s="935"/>
      <c r="AU85" s="935"/>
      <c r="AV85" s="935"/>
      <c r="AW85" s="935"/>
      <c r="AX85" s="935"/>
      <c r="AY85" s="935"/>
      <c r="AZ85" s="935"/>
      <c r="BA85" s="935"/>
      <c r="BB85" s="935"/>
      <c r="BC85" s="935"/>
      <c r="BD85" s="935"/>
      <c r="BE85" s="935"/>
      <c r="BF85" s="935"/>
      <c r="BG85" s="935"/>
      <c r="BH85" s="935"/>
      <c r="BI85" s="935"/>
      <c r="BJ85" s="935"/>
      <c r="BK85" s="935"/>
      <c r="BL85" s="935"/>
      <c r="BM85" s="935"/>
      <c r="BN85" s="935"/>
      <c r="BO85" s="935"/>
      <c r="BP85" s="935"/>
      <c r="BQ85" s="935"/>
      <c r="BR85" s="935"/>
      <c r="BS85" s="935"/>
      <c r="BT85" s="935"/>
    </row>
    <row r="86" spans="1:72" x14ac:dyDescent="0.25">
      <c r="A86" s="935" t="s">
        <v>609</v>
      </c>
      <c r="B86" s="935">
        <v>20.65</v>
      </c>
      <c r="C86" s="935">
        <v>26.15</v>
      </c>
      <c r="D86" s="935">
        <v>19.82</v>
      </c>
      <c r="E86" s="935">
        <v>20.78</v>
      </c>
      <c r="F86" s="935">
        <v>20.86</v>
      </c>
      <c r="G86" s="935">
        <v>22.02</v>
      </c>
      <c r="H86" s="935">
        <v>23.23</v>
      </c>
      <c r="I86" s="935">
        <v>24.19</v>
      </c>
      <c r="J86" s="935">
        <v>24.77</v>
      </c>
      <c r="K86" s="935">
        <v>25.41</v>
      </c>
      <c r="L86" s="935">
        <v>25.95</v>
      </c>
      <c r="M86" s="935">
        <v>26.53</v>
      </c>
      <c r="N86" s="935">
        <v>26.79</v>
      </c>
      <c r="O86" s="935">
        <v>27.02</v>
      </c>
      <c r="P86" s="935">
        <v>27.25</v>
      </c>
      <c r="Q86" s="935">
        <v>27.46</v>
      </c>
      <c r="R86" s="935">
        <v>27.73</v>
      </c>
      <c r="S86" s="935">
        <v>28</v>
      </c>
      <c r="T86" s="935">
        <v>28.26</v>
      </c>
      <c r="U86" s="935">
        <v>28.41</v>
      </c>
      <c r="V86" s="935">
        <v>28.68</v>
      </c>
      <c r="W86" s="935">
        <v>28.93</v>
      </c>
      <c r="X86" s="935">
        <v>29.28</v>
      </c>
      <c r="Y86" s="935">
        <v>29.5</v>
      </c>
      <c r="Z86" s="935">
        <v>29.86</v>
      </c>
      <c r="AA86" s="935">
        <v>30.19</v>
      </c>
      <c r="AB86" s="935">
        <v>30.58</v>
      </c>
      <c r="AC86" s="935">
        <v>30.94</v>
      </c>
      <c r="AD86" s="935">
        <v>31.32</v>
      </c>
      <c r="AE86" s="974">
        <v>7.0000000000000001E-3</v>
      </c>
      <c r="AF86" s="935"/>
      <c r="AG86" s="935"/>
      <c r="AH86" s="935"/>
      <c r="AI86" s="935"/>
      <c r="AJ86" s="935"/>
      <c r="AK86" s="935"/>
      <c r="AL86" s="935"/>
      <c r="AM86" s="935"/>
      <c r="AN86" s="935"/>
      <c r="AO86" s="935"/>
      <c r="AP86" s="935"/>
      <c r="AQ86" s="935"/>
      <c r="AR86" s="935"/>
      <c r="AS86" s="935"/>
      <c r="AT86" s="935"/>
      <c r="AU86" s="935"/>
      <c r="AV86" s="935"/>
      <c r="AW86" s="935"/>
      <c r="AX86" s="935"/>
      <c r="AY86" s="935"/>
      <c r="AZ86" s="935"/>
      <c r="BA86" s="935"/>
      <c r="BB86" s="935"/>
      <c r="BC86" s="935"/>
      <c r="BD86" s="935"/>
      <c r="BE86" s="935"/>
      <c r="BF86" s="935"/>
      <c r="BG86" s="935"/>
      <c r="BH86" s="935"/>
      <c r="BI86" s="935"/>
      <c r="BJ86" s="935"/>
      <c r="BK86" s="935"/>
      <c r="BL86" s="935"/>
      <c r="BM86" s="935"/>
      <c r="BN86" s="935"/>
      <c r="BO86" s="935"/>
      <c r="BP86" s="935"/>
      <c r="BQ86" s="935"/>
      <c r="BR86" s="935"/>
      <c r="BS86" s="935"/>
      <c r="BT86" s="935"/>
    </row>
    <row r="87" spans="1:72" x14ac:dyDescent="0.25">
      <c r="A87" s="935" t="s">
        <v>610</v>
      </c>
      <c r="B87" s="935">
        <v>17.48</v>
      </c>
      <c r="C87" s="935">
        <v>21.5</v>
      </c>
      <c r="D87" s="935">
        <v>15.8</v>
      </c>
      <c r="E87" s="935">
        <v>14.82</v>
      </c>
      <c r="F87" s="935">
        <v>15.24</v>
      </c>
      <c r="G87" s="935">
        <v>16.38</v>
      </c>
      <c r="H87" s="935">
        <v>17.399999999999999</v>
      </c>
      <c r="I87" s="935">
        <v>18.11</v>
      </c>
      <c r="J87" s="935">
        <v>18.72</v>
      </c>
      <c r="K87" s="935">
        <v>19.559999999999999</v>
      </c>
      <c r="L87" s="935">
        <v>20.2</v>
      </c>
      <c r="M87" s="935">
        <v>20.84</v>
      </c>
      <c r="N87" s="935">
        <v>21.26</v>
      </c>
      <c r="O87" s="935">
        <v>21.6</v>
      </c>
      <c r="P87" s="935">
        <v>21.78</v>
      </c>
      <c r="Q87" s="935">
        <v>22.04</v>
      </c>
      <c r="R87" s="935">
        <v>22.29</v>
      </c>
      <c r="S87" s="935">
        <v>22.43</v>
      </c>
      <c r="T87" s="935">
        <v>22.72</v>
      </c>
      <c r="U87" s="935">
        <v>22.97</v>
      </c>
      <c r="V87" s="935">
        <v>23.21</v>
      </c>
      <c r="W87" s="935">
        <v>23.53</v>
      </c>
      <c r="X87" s="935">
        <v>23.93</v>
      </c>
      <c r="Y87" s="935">
        <v>24.11</v>
      </c>
      <c r="Z87" s="935">
        <v>24.54</v>
      </c>
      <c r="AA87" s="935">
        <v>24.94</v>
      </c>
      <c r="AB87" s="935">
        <v>25.28</v>
      </c>
      <c r="AC87" s="935">
        <v>25.69</v>
      </c>
      <c r="AD87" s="935">
        <v>26.13</v>
      </c>
      <c r="AE87" s="974">
        <v>7.0000000000000001E-3</v>
      </c>
      <c r="AF87" s="935"/>
      <c r="AG87" s="935"/>
      <c r="AH87" s="935"/>
      <c r="AI87" s="935"/>
      <c r="AJ87" s="935"/>
      <c r="AK87" s="935"/>
      <c r="AL87" s="935"/>
      <c r="AM87" s="935"/>
      <c r="AN87" s="935"/>
      <c r="AO87" s="935"/>
      <c r="AP87" s="935"/>
      <c r="AQ87" s="935"/>
      <c r="AR87" s="935"/>
      <c r="AS87" s="935"/>
      <c r="AT87" s="935"/>
      <c r="AU87" s="935"/>
      <c r="AV87" s="935"/>
      <c r="AW87" s="935"/>
      <c r="AX87" s="935"/>
      <c r="AY87" s="935"/>
      <c r="AZ87" s="935"/>
      <c r="BA87" s="935"/>
      <c r="BB87" s="935"/>
      <c r="BC87" s="935"/>
      <c r="BD87" s="935"/>
      <c r="BE87" s="935"/>
      <c r="BF87" s="935"/>
      <c r="BG87" s="935"/>
      <c r="BH87" s="935"/>
      <c r="BI87" s="935"/>
      <c r="BJ87" s="935"/>
      <c r="BK87" s="935"/>
      <c r="BL87" s="935"/>
      <c r="BM87" s="935"/>
      <c r="BN87" s="935"/>
      <c r="BO87" s="935"/>
      <c r="BP87" s="935"/>
      <c r="BQ87" s="935"/>
      <c r="BR87" s="935"/>
      <c r="BS87" s="935"/>
      <c r="BT87" s="935"/>
    </row>
    <row r="88" spans="1:72" x14ac:dyDescent="0.25">
      <c r="A88" s="935" t="s">
        <v>723</v>
      </c>
      <c r="B88" s="935">
        <v>8.39</v>
      </c>
      <c r="C88" s="935">
        <v>15.52</v>
      </c>
      <c r="D88" s="935">
        <v>9.27</v>
      </c>
      <c r="E88" s="935">
        <v>9.4499999999999993</v>
      </c>
      <c r="F88" s="935">
        <v>9.6300000000000008</v>
      </c>
      <c r="G88" s="935">
        <v>10.85</v>
      </c>
      <c r="H88" s="935">
        <v>11.98</v>
      </c>
      <c r="I88" s="935">
        <v>12.76</v>
      </c>
      <c r="J88" s="935">
        <v>13.13</v>
      </c>
      <c r="K88" s="935">
        <v>13.68</v>
      </c>
      <c r="L88" s="935">
        <v>14.17</v>
      </c>
      <c r="M88" s="935">
        <v>14.69</v>
      </c>
      <c r="N88" s="935">
        <v>15.26</v>
      </c>
      <c r="O88" s="935">
        <v>15.46</v>
      </c>
      <c r="P88" s="935">
        <v>15.68</v>
      </c>
      <c r="Q88" s="935">
        <v>15.89</v>
      </c>
      <c r="R88" s="935">
        <v>16.12</v>
      </c>
      <c r="S88" s="935">
        <v>16.34</v>
      </c>
      <c r="T88" s="935">
        <v>16.54</v>
      </c>
      <c r="U88" s="935">
        <v>16.63</v>
      </c>
      <c r="V88" s="935">
        <v>16.82</v>
      </c>
      <c r="W88" s="935">
        <v>17.059999999999999</v>
      </c>
      <c r="X88" s="935">
        <v>17.28</v>
      </c>
      <c r="Y88" s="935">
        <v>17.54</v>
      </c>
      <c r="Z88" s="935">
        <v>17.89</v>
      </c>
      <c r="AA88" s="935">
        <v>18.12</v>
      </c>
      <c r="AB88" s="935">
        <v>18.25</v>
      </c>
      <c r="AC88" s="935">
        <v>18.68</v>
      </c>
      <c r="AD88" s="935">
        <v>18.84</v>
      </c>
      <c r="AE88" s="974">
        <v>7.0000000000000001E-3</v>
      </c>
      <c r="AF88" s="935"/>
      <c r="AG88" s="935"/>
      <c r="AH88" s="935"/>
      <c r="AI88" s="935"/>
      <c r="AJ88" s="935"/>
      <c r="AK88" s="935"/>
      <c r="AL88" s="935"/>
      <c r="AM88" s="935"/>
      <c r="AN88" s="935"/>
      <c r="AO88" s="935"/>
      <c r="AP88" s="935"/>
      <c r="AQ88" s="935"/>
      <c r="AR88" s="935"/>
      <c r="AS88" s="935"/>
      <c r="AT88" s="935"/>
      <c r="AU88" s="935"/>
      <c r="AV88" s="935"/>
      <c r="AW88" s="935"/>
      <c r="AX88" s="935"/>
      <c r="AY88" s="935"/>
      <c r="AZ88" s="935"/>
      <c r="BA88" s="935"/>
      <c r="BB88" s="935"/>
      <c r="BC88" s="935"/>
      <c r="BD88" s="935"/>
      <c r="BE88" s="935"/>
      <c r="BF88" s="935"/>
      <c r="BG88" s="935"/>
      <c r="BH88" s="935"/>
      <c r="BI88" s="935"/>
      <c r="BJ88" s="935"/>
      <c r="BK88" s="935"/>
      <c r="BL88" s="935"/>
      <c r="BM88" s="935"/>
      <c r="BN88" s="935"/>
      <c r="BO88" s="935"/>
      <c r="BP88" s="935"/>
      <c r="BQ88" s="935"/>
      <c r="BR88" s="935"/>
      <c r="BS88" s="935"/>
      <c r="BT88" s="935"/>
    </row>
    <row r="89" spans="1:72" x14ac:dyDescent="0.25">
      <c r="A89" s="935" t="s">
        <v>510</v>
      </c>
      <c r="B89" s="935">
        <v>11.2</v>
      </c>
      <c r="C89" s="935">
        <v>11.94</v>
      </c>
      <c r="D89" s="935">
        <v>9.0500000000000007</v>
      </c>
      <c r="E89" s="935">
        <v>8.67</v>
      </c>
      <c r="F89" s="935">
        <v>9.7200000000000006</v>
      </c>
      <c r="G89" s="935">
        <v>10.07</v>
      </c>
      <c r="H89" s="935">
        <v>9.92</v>
      </c>
      <c r="I89" s="935">
        <v>9.85</v>
      </c>
      <c r="J89" s="935">
        <v>9.99</v>
      </c>
      <c r="K89" s="935">
        <v>10.08</v>
      </c>
      <c r="L89" s="935">
        <v>10.11</v>
      </c>
      <c r="M89" s="935">
        <v>10.16</v>
      </c>
      <c r="N89" s="935">
        <v>10.23</v>
      </c>
      <c r="O89" s="935">
        <v>10.35</v>
      </c>
      <c r="P89" s="935">
        <v>10.46</v>
      </c>
      <c r="Q89" s="935">
        <v>10.65</v>
      </c>
      <c r="R89" s="935">
        <v>10.69</v>
      </c>
      <c r="S89" s="935">
        <v>10.62</v>
      </c>
      <c r="T89" s="935">
        <v>10.7</v>
      </c>
      <c r="U89" s="935">
        <v>10.86</v>
      </c>
      <c r="V89" s="935">
        <v>11.04</v>
      </c>
      <c r="W89" s="935">
        <v>11.28</v>
      </c>
      <c r="X89" s="935">
        <v>11.52</v>
      </c>
      <c r="Y89" s="935">
        <v>11.78</v>
      </c>
      <c r="Z89" s="935">
        <v>12.11</v>
      </c>
      <c r="AA89" s="935">
        <v>12.26</v>
      </c>
      <c r="AB89" s="935">
        <v>12.32</v>
      </c>
      <c r="AC89" s="935">
        <v>12.52</v>
      </c>
      <c r="AD89" s="935">
        <v>12.66</v>
      </c>
      <c r="AE89" s="974">
        <v>2E-3</v>
      </c>
      <c r="AF89" s="935"/>
      <c r="AG89" s="935"/>
      <c r="AH89" s="935"/>
      <c r="AI89" s="935"/>
      <c r="AJ89" s="935"/>
      <c r="AK89" s="935"/>
      <c r="AL89" s="935"/>
      <c r="AM89" s="935"/>
      <c r="AN89" s="935"/>
      <c r="AO89" s="935"/>
      <c r="AP89" s="935"/>
      <c r="AQ89" s="935"/>
      <c r="AR89" s="935"/>
      <c r="AS89" s="935"/>
      <c r="AT89" s="935"/>
      <c r="AU89" s="935"/>
      <c r="AV89" s="935"/>
      <c r="AW89" s="935"/>
      <c r="AX89" s="935"/>
      <c r="AY89" s="935"/>
      <c r="AZ89" s="935"/>
      <c r="BA89" s="935"/>
      <c r="BB89" s="935"/>
      <c r="BC89" s="935"/>
      <c r="BD89" s="935"/>
      <c r="BE89" s="935"/>
      <c r="BF89" s="935"/>
      <c r="BG89" s="935"/>
      <c r="BH89" s="935"/>
      <c r="BI89" s="935"/>
      <c r="BJ89" s="935"/>
      <c r="BK89" s="935"/>
      <c r="BL89" s="935"/>
      <c r="BM89" s="935"/>
      <c r="BN89" s="935"/>
      <c r="BO89" s="935"/>
      <c r="BP89" s="935"/>
      <c r="BQ89" s="935"/>
      <c r="BR89" s="935"/>
      <c r="BS89" s="935"/>
      <c r="BT89" s="935"/>
    </row>
    <row r="90" spans="1:72" x14ac:dyDescent="0.25">
      <c r="A90" s="935" t="s">
        <v>479</v>
      </c>
      <c r="B90" s="935">
        <v>28.81</v>
      </c>
      <c r="C90" s="935">
        <v>30.47</v>
      </c>
      <c r="D90" s="935">
        <v>28.94</v>
      </c>
      <c r="E90" s="935">
        <v>27.37</v>
      </c>
      <c r="F90" s="935">
        <v>25.72</v>
      </c>
      <c r="G90" s="935">
        <v>26.72</v>
      </c>
      <c r="H90" s="935">
        <v>26.81</v>
      </c>
      <c r="I90" s="935">
        <v>26.55</v>
      </c>
      <c r="J90" s="935">
        <v>26.55</v>
      </c>
      <c r="K90" s="935">
        <v>26.81</v>
      </c>
      <c r="L90" s="935">
        <v>26.97</v>
      </c>
      <c r="M90" s="935">
        <v>26.98</v>
      </c>
      <c r="N90" s="935">
        <v>26.93</v>
      </c>
      <c r="O90" s="935">
        <v>27.12</v>
      </c>
      <c r="P90" s="935">
        <v>27.31</v>
      </c>
      <c r="Q90" s="935">
        <v>27.42</v>
      </c>
      <c r="R90" s="935">
        <v>27.62</v>
      </c>
      <c r="S90" s="935">
        <v>27.77</v>
      </c>
      <c r="T90" s="935">
        <v>27.72</v>
      </c>
      <c r="U90" s="935">
        <v>27.87</v>
      </c>
      <c r="V90" s="935">
        <v>28.05</v>
      </c>
      <c r="W90" s="935">
        <v>28.25</v>
      </c>
      <c r="X90" s="935">
        <v>28.67</v>
      </c>
      <c r="Y90" s="935">
        <v>28.99</v>
      </c>
      <c r="Z90" s="935">
        <v>29.37</v>
      </c>
      <c r="AA90" s="935">
        <v>29.73</v>
      </c>
      <c r="AB90" s="935">
        <v>29.9</v>
      </c>
      <c r="AC90" s="935">
        <v>30.15</v>
      </c>
      <c r="AD90" s="935">
        <v>30.37</v>
      </c>
      <c r="AE90" s="974">
        <v>0</v>
      </c>
      <c r="AF90" s="935"/>
      <c r="AG90" s="935"/>
      <c r="AH90" s="935"/>
      <c r="AI90" s="935"/>
      <c r="AJ90" s="935"/>
      <c r="AK90" s="935"/>
      <c r="AL90" s="935"/>
      <c r="AM90" s="935"/>
      <c r="AN90" s="935"/>
      <c r="AO90" s="935"/>
      <c r="AP90" s="935"/>
      <c r="AQ90" s="935"/>
      <c r="AR90" s="935"/>
      <c r="AS90" s="935"/>
      <c r="AT90" s="935"/>
      <c r="AU90" s="935"/>
      <c r="AV90" s="935"/>
      <c r="AW90" s="935"/>
      <c r="AX90" s="935"/>
      <c r="AY90" s="935"/>
      <c r="AZ90" s="935"/>
      <c r="BA90" s="935"/>
      <c r="BB90" s="935"/>
      <c r="BC90" s="935"/>
      <c r="BD90" s="935"/>
      <c r="BE90" s="935"/>
      <c r="BF90" s="935"/>
      <c r="BG90" s="935"/>
      <c r="BH90" s="935"/>
      <c r="BI90" s="935"/>
      <c r="BJ90" s="935"/>
      <c r="BK90" s="935"/>
      <c r="BL90" s="935"/>
      <c r="BM90" s="935"/>
      <c r="BN90" s="935"/>
      <c r="BO90" s="935"/>
      <c r="BP90" s="935"/>
      <c r="BQ90" s="935"/>
      <c r="BR90" s="935"/>
      <c r="BS90" s="935"/>
      <c r="BT90" s="935"/>
    </row>
    <row r="91" spans="1:72" x14ac:dyDescent="0.25">
      <c r="A91" s="935"/>
      <c r="B91" s="935"/>
      <c r="C91" s="935"/>
      <c r="D91" s="935"/>
      <c r="E91" s="935"/>
      <c r="F91" s="935"/>
      <c r="G91" s="935"/>
      <c r="H91" s="935"/>
      <c r="I91" s="935"/>
      <c r="J91" s="935"/>
      <c r="K91" s="935"/>
      <c r="L91" s="935"/>
      <c r="M91" s="935"/>
      <c r="N91" s="935"/>
      <c r="O91" s="935"/>
      <c r="P91" s="935"/>
      <c r="Q91" s="935"/>
      <c r="R91" s="935"/>
      <c r="S91" s="935"/>
      <c r="T91" s="935"/>
      <c r="U91" s="935"/>
      <c r="V91" s="935"/>
      <c r="W91" s="935"/>
      <c r="X91" s="935"/>
      <c r="Y91" s="935"/>
      <c r="Z91" s="935"/>
      <c r="AA91" s="935"/>
      <c r="AB91" s="935"/>
      <c r="AC91" s="935"/>
      <c r="AD91" s="935"/>
      <c r="AE91" s="935"/>
      <c r="AF91" s="935"/>
      <c r="AG91" s="935"/>
      <c r="AH91" s="935"/>
      <c r="AI91" s="935"/>
      <c r="AJ91" s="935"/>
      <c r="AK91" s="935"/>
      <c r="AL91" s="935"/>
      <c r="AM91" s="935"/>
      <c r="AN91" s="935"/>
      <c r="AO91" s="935"/>
      <c r="AP91" s="935"/>
      <c r="AQ91" s="935"/>
      <c r="AR91" s="935"/>
      <c r="AS91" s="935"/>
      <c r="AT91" s="935"/>
      <c r="AU91" s="935"/>
      <c r="AV91" s="935"/>
      <c r="AW91" s="935"/>
      <c r="AX91" s="935"/>
      <c r="AY91" s="935"/>
      <c r="AZ91" s="935"/>
      <c r="BA91" s="935"/>
      <c r="BB91" s="935"/>
      <c r="BC91" s="935"/>
      <c r="BD91" s="935"/>
      <c r="BE91" s="935"/>
      <c r="BF91" s="935"/>
      <c r="BG91" s="935"/>
      <c r="BH91" s="935"/>
      <c r="BI91" s="935"/>
      <c r="BJ91" s="935"/>
      <c r="BK91" s="935"/>
      <c r="BL91" s="935"/>
      <c r="BM91" s="935"/>
      <c r="BN91" s="935"/>
      <c r="BO91" s="935"/>
      <c r="BP91" s="935"/>
      <c r="BQ91" s="935"/>
      <c r="BR91" s="935"/>
      <c r="BS91" s="935"/>
      <c r="BT91" s="935"/>
    </row>
    <row r="92" spans="1:72" x14ac:dyDescent="0.25">
      <c r="A92" s="935" t="s">
        <v>612</v>
      </c>
      <c r="B92" s="935"/>
      <c r="C92" s="935"/>
      <c r="D92" s="935"/>
      <c r="E92" s="935"/>
      <c r="F92" s="935"/>
      <c r="G92" s="935"/>
      <c r="H92" s="935"/>
      <c r="I92" s="935"/>
      <c r="J92" s="935"/>
      <c r="K92" s="935"/>
      <c r="L92" s="935"/>
      <c r="M92" s="935"/>
      <c r="N92" s="935"/>
      <c r="O92" s="935"/>
      <c r="P92" s="935"/>
      <c r="Q92" s="935"/>
      <c r="R92" s="935"/>
      <c r="S92" s="935"/>
      <c r="T92" s="935"/>
      <c r="U92" s="935"/>
      <c r="V92" s="935"/>
      <c r="W92" s="935"/>
      <c r="X92" s="935"/>
      <c r="Y92" s="935"/>
      <c r="Z92" s="935"/>
      <c r="AA92" s="935"/>
      <c r="AB92" s="935"/>
      <c r="AC92" s="935"/>
      <c r="AD92" s="935"/>
      <c r="AE92" s="935"/>
      <c r="AF92" s="935"/>
      <c r="AG92" s="935"/>
      <c r="AH92" s="935"/>
      <c r="AI92" s="935"/>
      <c r="AJ92" s="935"/>
      <c r="AK92" s="935"/>
      <c r="AL92" s="935"/>
      <c r="AM92" s="935"/>
      <c r="AN92" s="935"/>
      <c r="AO92" s="935"/>
      <c r="AP92" s="935"/>
      <c r="AQ92" s="935"/>
      <c r="AR92" s="935"/>
      <c r="AS92" s="935"/>
      <c r="AT92" s="935"/>
      <c r="AU92" s="935"/>
      <c r="AV92" s="935"/>
      <c r="AW92" s="935"/>
      <c r="AX92" s="935"/>
      <c r="AY92" s="935"/>
      <c r="AZ92" s="935"/>
      <c r="BA92" s="935"/>
      <c r="BB92" s="935"/>
      <c r="BC92" s="935"/>
      <c r="BD92" s="935"/>
      <c r="BE92" s="935"/>
      <c r="BF92" s="935"/>
      <c r="BG92" s="935"/>
      <c r="BH92" s="935"/>
      <c r="BI92" s="935"/>
      <c r="BJ92" s="935"/>
      <c r="BK92" s="935"/>
      <c r="BL92" s="935"/>
      <c r="BM92" s="935"/>
      <c r="BN92" s="935"/>
      <c r="BO92" s="935"/>
      <c r="BP92" s="935"/>
      <c r="BQ92" s="935"/>
      <c r="BR92" s="935"/>
      <c r="BS92" s="935"/>
      <c r="BT92" s="935"/>
    </row>
    <row r="93" spans="1:72" x14ac:dyDescent="0.25">
      <c r="A93" s="935" t="s">
        <v>609</v>
      </c>
      <c r="B93" s="935">
        <v>22.01</v>
      </c>
      <c r="C93" s="935">
        <v>24.2</v>
      </c>
      <c r="D93" s="935">
        <v>18.64</v>
      </c>
      <c r="E93" s="935">
        <v>18.36</v>
      </c>
      <c r="F93" s="935">
        <v>18.46</v>
      </c>
      <c r="G93" s="935">
        <v>19.61</v>
      </c>
      <c r="H93" s="935">
        <v>20.9</v>
      </c>
      <c r="I93" s="935">
        <v>21.9</v>
      </c>
      <c r="J93" s="935">
        <v>22.49</v>
      </c>
      <c r="K93" s="935">
        <v>23.25</v>
      </c>
      <c r="L93" s="935">
        <v>23.76</v>
      </c>
      <c r="M93" s="935">
        <v>24.31</v>
      </c>
      <c r="N93" s="935">
        <v>24.62</v>
      </c>
      <c r="O93" s="935">
        <v>24.86</v>
      </c>
      <c r="P93" s="935">
        <v>25.09</v>
      </c>
      <c r="Q93" s="935">
        <v>25.3</v>
      </c>
      <c r="R93" s="935">
        <v>25.59</v>
      </c>
      <c r="S93" s="935">
        <v>25.86</v>
      </c>
      <c r="T93" s="935">
        <v>26.12</v>
      </c>
      <c r="U93" s="935">
        <v>26.27</v>
      </c>
      <c r="V93" s="935">
        <v>26.55</v>
      </c>
      <c r="W93" s="935">
        <v>26.8</v>
      </c>
      <c r="X93" s="935">
        <v>27.15</v>
      </c>
      <c r="Y93" s="935">
        <v>27.38</v>
      </c>
      <c r="Z93" s="935">
        <v>27.74</v>
      </c>
      <c r="AA93" s="935">
        <v>28.08</v>
      </c>
      <c r="AB93" s="935">
        <v>28.48</v>
      </c>
      <c r="AC93" s="935">
        <v>28.86</v>
      </c>
      <c r="AD93" s="935">
        <v>29.25</v>
      </c>
      <c r="AE93" s="974">
        <v>7.0000000000000001E-3</v>
      </c>
      <c r="AF93" s="935"/>
      <c r="AG93" s="935"/>
      <c r="AH93" s="935"/>
      <c r="AI93" s="935"/>
      <c r="AJ93" s="935"/>
      <c r="AK93" s="935"/>
      <c r="AL93" s="935"/>
      <c r="AM93" s="935"/>
      <c r="AN93" s="935"/>
      <c r="AO93" s="935"/>
      <c r="AP93" s="935"/>
      <c r="AQ93" s="935"/>
      <c r="AR93" s="935"/>
      <c r="AS93" s="935"/>
      <c r="AT93" s="935"/>
      <c r="AU93" s="935"/>
      <c r="AV93" s="935"/>
      <c r="AW93" s="935"/>
      <c r="AX93" s="935"/>
      <c r="AY93" s="935"/>
      <c r="AZ93" s="935"/>
      <c r="BA93" s="935"/>
      <c r="BB93" s="935"/>
      <c r="BC93" s="935"/>
      <c r="BD93" s="935"/>
      <c r="BE93" s="935"/>
      <c r="BF93" s="935"/>
      <c r="BG93" s="935"/>
      <c r="BH93" s="935"/>
      <c r="BI93" s="935"/>
      <c r="BJ93" s="935"/>
      <c r="BK93" s="935"/>
      <c r="BL93" s="935"/>
      <c r="BM93" s="935"/>
      <c r="BN93" s="935"/>
      <c r="BO93" s="935"/>
      <c r="BP93" s="935"/>
      <c r="BQ93" s="935"/>
      <c r="BR93" s="935"/>
      <c r="BS93" s="935"/>
      <c r="BT93" s="935"/>
    </row>
    <row r="94" spans="1:72" x14ac:dyDescent="0.25">
      <c r="A94" s="935" t="s">
        <v>610</v>
      </c>
      <c r="B94" s="935">
        <v>18.07</v>
      </c>
      <c r="C94" s="935">
        <v>22.31</v>
      </c>
      <c r="D94" s="935">
        <v>16.399999999999999</v>
      </c>
      <c r="E94" s="935">
        <v>14.38</v>
      </c>
      <c r="F94" s="935">
        <v>15.38</v>
      </c>
      <c r="G94" s="935">
        <v>16.55</v>
      </c>
      <c r="H94" s="935">
        <v>17.59</v>
      </c>
      <c r="I94" s="935">
        <v>18.32</v>
      </c>
      <c r="J94" s="935">
        <v>19</v>
      </c>
      <c r="K94" s="935">
        <v>19.8</v>
      </c>
      <c r="L94" s="935">
        <v>20.440000000000001</v>
      </c>
      <c r="M94" s="935">
        <v>21.08</v>
      </c>
      <c r="N94" s="935">
        <v>21.49</v>
      </c>
      <c r="O94" s="935">
        <v>21.83</v>
      </c>
      <c r="P94" s="935">
        <v>22.03</v>
      </c>
      <c r="Q94" s="935">
        <v>22.36</v>
      </c>
      <c r="R94" s="935">
        <v>22.56</v>
      </c>
      <c r="S94" s="935">
        <v>22.67</v>
      </c>
      <c r="T94" s="935">
        <v>22.97</v>
      </c>
      <c r="U94" s="935">
        <v>23.22</v>
      </c>
      <c r="V94" s="935">
        <v>23.48</v>
      </c>
      <c r="W94" s="935">
        <v>23.81</v>
      </c>
      <c r="X94" s="935">
        <v>24.22</v>
      </c>
      <c r="Y94" s="935">
        <v>24.4</v>
      </c>
      <c r="Z94" s="935">
        <v>24.84</v>
      </c>
      <c r="AA94" s="935">
        <v>25.25</v>
      </c>
      <c r="AB94" s="935">
        <v>25.6</v>
      </c>
      <c r="AC94" s="935">
        <v>26.02</v>
      </c>
      <c r="AD94" s="935">
        <v>26.48</v>
      </c>
      <c r="AE94" s="974">
        <v>6.0000000000000001E-3</v>
      </c>
      <c r="AF94" s="935"/>
      <c r="AG94" s="935"/>
      <c r="AH94" s="935"/>
      <c r="AI94" s="935"/>
      <c r="AJ94" s="935"/>
      <c r="AK94" s="935"/>
      <c r="AL94" s="935"/>
      <c r="AM94" s="935"/>
      <c r="AN94" s="935"/>
      <c r="AO94" s="935"/>
      <c r="AP94" s="935"/>
      <c r="AQ94" s="935"/>
      <c r="AR94" s="935"/>
      <c r="AS94" s="935"/>
      <c r="AT94" s="935"/>
      <c r="AU94" s="935"/>
      <c r="AV94" s="935"/>
      <c r="AW94" s="935"/>
      <c r="AX94" s="935"/>
      <c r="AY94" s="935"/>
      <c r="AZ94" s="935"/>
      <c r="BA94" s="935"/>
      <c r="BB94" s="935"/>
      <c r="BC94" s="935"/>
      <c r="BD94" s="935"/>
      <c r="BE94" s="935"/>
      <c r="BF94" s="935"/>
      <c r="BG94" s="935"/>
      <c r="BH94" s="935"/>
      <c r="BI94" s="935"/>
      <c r="BJ94" s="935"/>
      <c r="BK94" s="935"/>
      <c r="BL94" s="935"/>
      <c r="BM94" s="935"/>
      <c r="BN94" s="935"/>
      <c r="BO94" s="935"/>
      <c r="BP94" s="935"/>
      <c r="BQ94" s="935"/>
      <c r="BR94" s="935"/>
      <c r="BS94" s="935"/>
      <c r="BT94" s="935"/>
    </row>
    <row r="95" spans="1:72" x14ac:dyDescent="0.25">
      <c r="A95" s="935" t="s">
        <v>611</v>
      </c>
      <c r="B95" s="935">
        <v>8.84</v>
      </c>
      <c r="C95" s="935">
        <v>16.309999999999999</v>
      </c>
      <c r="D95" s="935">
        <v>9.75</v>
      </c>
      <c r="E95" s="935">
        <v>13.12</v>
      </c>
      <c r="F95" s="935">
        <v>13.24</v>
      </c>
      <c r="G95" s="935">
        <v>14.32</v>
      </c>
      <c r="H95" s="935">
        <v>15.31</v>
      </c>
      <c r="I95" s="935">
        <v>16.079999999999998</v>
      </c>
      <c r="J95" s="935">
        <v>16.47</v>
      </c>
      <c r="K95" s="935">
        <v>16.96</v>
      </c>
      <c r="L95" s="935">
        <v>17.37</v>
      </c>
      <c r="M95" s="935">
        <v>17.82</v>
      </c>
      <c r="N95" s="935">
        <v>18.09</v>
      </c>
      <c r="O95" s="935">
        <v>18.2</v>
      </c>
      <c r="P95" s="935">
        <v>18.43</v>
      </c>
      <c r="Q95" s="935">
        <v>18.61</v>
      </c>
      <c r="R95" s="935">
        <v>18.82</v>
      </c>
      <c r="S95" s="935">
        <v>19.03</v>
      </c>
      <c r="T95" s="935">
        <v>19.23</v>
      </c>
      <c r="U95" s="935">
        <v>19.3</v>
      </c>
      <c r="V95" s="935">
        <v>19.489999999999998</v>
      </c>
      <c r="W95" s="935">
        <v>19.73</v>
      </c>
      <c r="X95" s="935">
        <v>19.98</v>
      </c>
      <c r="Y95" s="935">
        <v>20.27</v>
      </c>
      <c r="Z95" s="935">
        <v>20.61</v>
      </c>
      <c r="AA95" s="935">
        <v>20.87</v>
      </c>
      <c r="AB95" s="935">
        <v>21.12</v>
      </c>
      <c r="AC95" s="935">
        <v>21.44</v>
      </c>
      <c r="AD95" s="935">
        <v>21.72</v>
      </c>
      <c r="AE95" s="974">
        <v>1.0999999999999999E-2</v>
      </c>
      <c r="AF95" s="935"/>
      <c r="AG95" s="935"/>
      <c r="AH95" s="935"/>
      <c r="AI95" s="935"/>
      <c r="AJ95" s="935"/>
      <c r="AK95" s="935"/>
      <c r="AL95" s="935"/>
      <c r="AM95" s="935"/>
      <c r="AN95" s="935"/>
      <c r="AO95" s="935"/>
      <c r="AP95" s="935"/>
      <c r="AQ95" s="935"/>
      <c r="AR95" s="935"/>
      <c r="AS95" s="935"/>
      <c r="AT95" s="935"/>
      <c r="AU95" s="935"/>
      <c r="AV95" s="935"/>
      <c r="AW95" s="935"/>
      <c r="AX95" s="935"/>
      <c r="AY95" s="935"/>
      <c r="AZ95" s="935"/>
      <c r="BA95" s="935"/>
      <c r="BB95" s="935"/>
      <c r="BC95" s="935"/>
      <c r="BD95" s="935"/>
      <c r="BE95" s="935"/>
      <c r="BF95" s="935"/>
      <c r="BG95" s="935"/>
      <c r="BH95" s="935"/>
      <c r="BI95" s="935"/>
      <c r="BJ95" s="935"/>
      <c r="BK95" s="935"/>
      <c r="BL95" s="935"/>
      <c r="BM95" s="935"/>
      <c r="BN95" s="935"/>
      <c r="BO95" s="935"/>
      <c r="BP95" s="935"/>
      <c r="BQ95" s="935"/>
      <c r="BR95" s="935"/>
      <c r="BS95" s="935"/>
      <c r="BT95" s="935"/>
    </row>
    <row r="96" spans="1:72" x14ac:dyDescent="0.25">
      <c r="A96" s="935" t="s">
        <v>613</v>
      </c>
      <c r="B96" s="935">
        <v>7.58</v>
      </c>
      <c r="C96" s="935">
        <v>9.11</v>
      </c>
      <c r="D96" s="935">
        <v>4.2</v>
      </c>
      <c r="E96" s="935">
        <v>4.87</v>
      </c>
      <c r="F96" s="935">
        <v>5.97</v>
      </c>
      <c r="G96" s="935">
        <v>6.39</v>
      </c>
      <c r="H96" s="935">
        <v>6.33</v>
      </c>
      <c r="I96" s="935">
        <v>6.28</v>
      </c>
      <c r="J96" s="935">
        <v>6.45</v>
      </c>
      <c r="K96" s="935">
        <v>6.52</v>
      </c>
      <c r="L96" s="935">
        <v>6.51</v>
      </c>
      <c r="M96" s="935">
        <v>6.55</v>
      </c>
      <c r="N96" s="935">
        <v>6.6</v>
      </c>
      <c r="O96" s="935">
        <v>6.7</v>
      </c>
      <c r="P96" s="935">
        <v>6.78</v>
      </c>
      <c r="Q96" s="935">
        <v>6.96</v>
      </c>
      <c r="R96" s="935">
        <v>7.01</v>
      </c>
      <c r="S96" s="935">
        <v>6.96</v>
      </c>
      <c r="T96" s="935">
        <v>7.02</v>
      </c>
      <c r="U96" s="935">
        <v>7.15</v>
      </c>
      <c r="V96" s="935">
        <v>7.29</v>
      </c>
      <c r="W96" s="935">
        <v>7.51</v>
      </c>
      <c r="X96" s="935">
        <v>7.73</v>
      </c>
      <c r="Y96" s="935">
        <v>7.98</v>
      </c>
      <c r="Z96" s="935">
        <v>8.2899999999999991</v>
      </c>
      <c r="AA96" s="935">
        <v>8.4</v>
      </c>
      <c r="AB96" s="935">
        <v>8.42</v>
      </c>
      <c r="AC96" s="935">
        <v>8.61</v>
      </c>
      <c r="AD96" s="935">
        <v>8.73</v>
      </c>
      <c r="AE96" s="974">
        <v>-2E-3</v>
      </c>
      <c r="AF96" s="935"/>
      <c r="AG96" s="935"/>
      <c r="AH96" s="935"/>
      <c r="AI96" s="935"/>
      <c r="AJ96" s="935"/>
      <c r="AK96" s="935"/>
      <c r="AL96" s="935"/>
      <c r="AM96" s="935"/>
      <c r="AN96" s="935"/>
      <c r="AO96" s="935"/>
      <c r="AP96" s="935"/>
      <c r="AQ96" s="935"/>
      <c r="AR96" s="935"/>
      <c r="AS96" s="935"/>
      <c r="AT96" s="935"/>
      <c r="AU96" s="935"/>
      <c r="AV96" s="935"/>
      <c r="AW96" s="935"/>
      <c r="AX96" s="935"/>
      <c r="AY96" s="935"/>
      <c r="AZ96" s="935"/>
      <c r="BA96" s="935"/>
      <c r="BB96" s="935"/>
      <c r="BC96" s="935"/>
      <c r="BD96" s="935"/>
      <c r="BE96" s="935"/>
      <c r="BF96" s="935"/>
      <c r="BG96" s="935"/>
      <c r="BH96" s="935"/>
      <c r="BI96" s="935"/>
      <c r="BJ96" s="935"/>
      <c r="BK96" s="935"/>
      <c r="BL96" s="935"/>
      <c r="BM96" s="935"/>
      <c r="BN96" s="935"/>
      <c r="BO96" s="935"/>
      <c r="BP96" s="935"/>
      <c r="BQ96" s="935"/>
      <c r="BR96" s="935"/>
      <c r="BS96" s="935"/>
      <c r="BT96" s="935"/>
    </row>
    <row r="97" spans="1:72" x14ac:dyDescent="0.25">
      <c r="A97" s="935" t="s">
        <v>614</v>
      </c>
      <c r="B97" s="935">
        <v>3.69</v>
      </c>
      <c r="C97" s="935">
        <v>4.49</v>
      </c>
      <c r="D97" s="935">
        <v>4.72</v>
      </c>
      <c r="E97" s="935">
        <v>4.8</v>
      </c>
      <c r="F97" s="935">
        <v>4.8600000000000003</v>
      </c>
      <c r="G97" s="935">
        <v>5.0199999999999996</v>
      </c>
      <c r="H97" s="935">
        <v>5.05</v>
      </c>
      <c r="I97" s="935">
        <v>5.08</v>
      </c>
      <c r="J97" s="935">
        <v>5.08</v>
      </c>
      <c r="K97" s="935">
        <v>5.09</v>
      </c>
      <c r="L97" s="935">
        <v>5.16</v>
      </c>
      <c r="M97" s="935">
        <v>5.22</v>
      </c>
      <c r="N97" s="935">
        <v>5.29</v>
      </c>
      <c r="O97" s="935">
        <v>5.32</v>
      </c>
      <c r="P97" s="935">
        <v>5.35</v>
      </c>
      <c r="Q97" s="935">
        <v>5.36</v>
      </c>
      <c r="R97" s="935">
        <v>5.35</v>
      </c>
      <c r="S97" s="935">
        <v>5.32</v>
      </c>
      <c r="T97" s="935">
        <v>5.24</v>
      </c>
      <c r="U97" s="935">
        <v>5.16</v>
      </c>
      <c r="V97" s="935">
        <v>5.14</v>
      </c>
      <c r="W97" s="935">
        <v>5.14</v>
      </c>
      <c r="X97" s="935">
        <v>5.1100000000000003</v>
      </c>
      <c r="Y97" s="935">
        <v>5.1100000000000003</v>
      </c>
      <c r="Z97" s="935">
        <v>5.09</v>
      </c>
      <c r="AA97" s="935">
        <v>5.08</v>
      </c>
      <c r="AB97" s="935">
        <v>5.08</v>
      </c>
      <c r="AC97" s="935">
        <v>5.0599999999999996</v>
      </c>
      <c r="AD97" s="935">
        <v>5.0599999999999996</v>
      </c>
      <c r="AE97" s="974">
        <v>4.0000000000000001E-3</v>
      </c>
      <c r="AF97" s="935"/>
      <c r="AG97" s="935"/>
      <c r="AH97" s="935"/>
      <c r="AI97" s="935"/>
      <c r="AJ97" s="935"/>
      <c r="AK97" s="935"/>
      <c r="AL97" s="935"/>
      <c r="AM97" s="935"/>
      <c r="AN97" s="935"/>
      <c r="AO97" s="935"/>
      <c r="AP97" s="935"/>
      <c r="AQ97" s="935"/>
      <c r="AR97" s="935"/>
      <c r="AS97" s="935"/>
      <c r="AT97" s="935"/>
      <c r="AU97" s="935"/>
      <c r="AV97" s="935"/>
      <c r="AW97" s="935"/>
      <c r="AX97" s="935"/>
      <c r="AY97" s="935"/>
      <c r="AZ97" s="935"/>
      <c r="BA97" s="935"/>
      <c r="BB97" s="935"/>
      <c r="BC97" s="935"/>
      <c r="BD97" s="935"/>
      <c r="BE97" s="935"/>
      <c r="BF97" s="935"/>
      <c r="BG97" s="935"/>
      <c r="BH97" s="935"/>
      <c r="BI97" s="935"/>
      <c r="BJ97" s="935"/>
      <c r="BK97" s="935"/>
      <c r="BL97" s="935"/>
      <c r="BM97" s="935"/>
      <c r="BN97" s="935"/>
      <c r="BO97" s="935"/>
      <c r="BP97" s="935"/>
      <c r="BQ97" s="935"/>
      <c r="BR97" s="935"/>
      <c r="BS97" s="935"/>
      <c r="BT97" s="935"/>
    </row>
    <row r="98" spans="1:72" x14ac:dyDescent="0.25">
      <c r="A98" s="935" t="s">
        <v>615</v>
      </c>
      <c r="B98" s="935">
        <v>2.48</v>
      </c>
      <c r="C98" s="935">
        <v>2.84</v>
      </c>
      <c r="D98" s="935">
        <v>2.79</v>
      </c>
      <c r="E98" s="935">
        <v>2.69</v>
      </c>
      <c r="F98" s="935">
        <v>2.69</v>
      </c>
      <c r="G98" s="935">
        <v>2.69</v>
      </c>
      <c r="H98" s="935">
        <v>2.66</v>
      </c>
      <c r="I98" s="935">
        <v>2.68</v>
      </c>
      <c r="J98" s="935">
        <v>2.69</v>
      </c>
      <c r="K98" s="935">
        <v>2.68</v>
      </c>
      <c r="L98" s="935">
        <v>2.69</v>
      </c>
      <c r="M98" s="935">
        <v>2.68</v>
      </c>
      <c r="N98" s="935">
        <v>2.67</v>
      </c>
      <c r="O98" s="935">
        <v>2.66</v>
      </c>
      <c r="P98" s="935">
        <v>2.65</v>
      </c>
      <c r="Q98" s="935">
        <v>2.65</v>
      </c>
      <c r="R98" s="935">
        <v>2.63</v>
      </c>
      <c r="S98" s="935">
        <v>2.63</v>
      </c>
      <c r="T98" s="935">
        <v>2.63</v>
      </c>
      <c r="U98" s="935">
        <v>2.64</v>
      </c>
      <c r="V98" s="935">
        <v>2.63</v>
      </c>
      <c r="W98" s="935">
        <v>2.64</v>
      </c>
      <c r="X98" s="935">
        <v>2.65</v>
      </c>
      <c r="Y98" s="935">
        <v>2.66</v>
      </c>
      <c r="Z98" s="935">
        <v>2.67</v>
      </c>
      <c r="AA98" s="935">
        <v>2.67</v>
      </c>
      <c r="AB98" s="935">
        <v>2.69</v>
      </c>
      <c r="AC98" s="935">
        <v>2.7</v>
      </c>
      <c r="AD98" s="935">
        <v>2.71</v>
      </c>
      <c r="AE98" s="974">
        <v>-2E-3</v>
      </c>
      <c r="AF98" s="935"/>
      <c r="AG98" s="935"/>
      <c r="AH98" s="935"/>
      <c r="AI98" s="935"/>
      <c r="AJ98" s="935"/>
      <c r="AK98" s="935"/>
      <c r="AL98" s="935"/>
      <c r="AM98" s="935"/>
      <c r="AN98" s="935"/>
      <c r="AO98" s="935"/>
      <c r="AP98" s="935"/>
      <c r="AQ98" s="935"/>
      <c r="AR98" s="935"/>
      <c r="AS98" s="935"/>
      <c r="AT98" s="935"/>
      <c r="AU98" s="935"/>
      <c r="AV98" s="935"/>
      <c r="AW98" s="935"/>
      <c r="AX98" s="935"/>
      <c r="AY98" s="935"/>
      <c r="AZ98" s="935"/>
      <c r="BA98" s="935"/>
      <c r="BB98" s="935"/>
      <c r="BC98" s="935"/>
      <c r="BD98" s="935"/>
      <c r="BE98" s="935"/>
      <c r="BF98" s="935"/>
      <c r="BG98" s="935"/>
      <c r="BH98" s="935"/>
      <c r="BI98" s="935"/>
      <c r="BJ98" s="935"/>
      <c r="BK98" s="935"/>
      <c r="BL98" s="935"/>
      <c r="BM98" s="935"/>
      <c r="BN98" s="935"/>
      <c r="BO98" s="935"/>
      <c r="BP98" s="935"/>
      <c r="BQ98" s="935"/>
      <c r="BR98" s="935"/>
      <c r="BS98" s="935"/>
      <c r="BT98" s="935"/>
    </row>
    <row r="99" spans="1:72" x14ac:dyDescent="0.25">
      <c r="A99" s="935" t="s">
        <v>616</v>
      </c>
      <c r="B99" s="935" t="s">
        <v>788</v>
      </c>
      <c r="C99" s="935" t="s">
        <v>788</v>
      </c>
      <c r="D99" s="935" t="s">
        <v>788</v>
      </c>
      <c r="E99" s="935" t="s">
        <v>788</v>
      </c>
      <c r="F99" s="935">
        <v>1.26</v>
      </c>
      <c r="G99" s="935">
        <v>1.04</v>
      </c>
      <c r="H99" s="935">
        <v>1.04</v>
      </c>
      <c r="I99" s="935">
        <v>1.41</v>
      </c>
      <c r="J99" s="935">
        <v>1.42</v>
      </c>
      <c r="K99" s="935">
        <v>1.46</v>
      </c>
      <c r="L99" s="935">
        <v>1.48</v>
      </c>
      <c r="M99" s="935">
        <v>1.48</v>
      </c>
      <c r="N99" s="935">
        <v>1.47</v>
      </c>
      <c r="O99" s="935">
        <v>1.46</v>
      </c>
      <c r="P99" s="935">
        <v>1.49</v>
      </c>
      <c r="Q99" s="935">
        <v>1.5</v>
      </c>
      <c r="R99" s="935">
        <v>1.52</v>
      </c>
      <c r="S99" s="935">
        <v>1.49</v>
      </c>
      <c r="T99" s="935">
        <v>1.49</v>
      </c>
      <c r="U99" s="935">
        <v>1.47</v>
      </c>
      <c r="V99" s="935">
        <v>1.46</v>
      </c>
      <c r="W99" s="935">
        <v>1.45</v>
      </c>
      <c r="X99" s="935">
        <v>1.44</v>
      </c>
      <c r="Y99" s="935">
        <v>1.44</v>
      </c>
      <c r="Z99" s="935">
        <v>1.44</v>
      </c>
      <c r="AA99" s="935">
        <v>1.44</v>
      </c>
      <c r="AB99" s="935">
        <v>1.46</v>
      </c>
      <c r="AC99" s="935">
        <v>1.48</v>
      </c>
      <c r="AD99" s="935">
        <v>1.51</v>
      </c>
      <c r="AE99" s="935" t="s">
        <v>788</v>
      </c>
      <c r="AF99" s="935"/>
      <c r="AG99" s="935"/>
      <c r="AH99" s="935"/>
      <c r="AI99" s="935"/>
      <c r="AJ99" s="935"/>
      <c r="AK99" s="935"/>
      <c r="AL99" s="935"/>
      <c r="AM99" s="935"/>
      <c r="AN99" s="935"/>
      <c r="AO99" s="935"/>
      <c r="AP99" s="935"/>
      <c r="AQ99" s="935"/>
      <c r="AR99" s="935"/>
      <c r="AS99" s="935"/>
      <c r="AT99" s="935"/>
      <c r="AU99" s="935"/>
      <c r="AV99" s="935"/>
      <c r="AW99" s="935"/>
      <c r="AX99" s="935"/>
      <c r="AY99" s="935"/>
      <c r="AZ99" s="935"/>
      <c r="BA99" s="935"/>
      <c r="BB99" s="935"/>
      <c r="BC99" s="935"/>
      <c r="BD99" s="935"/>
      <c r="BE99" s="935"/>
      <c r="BF99" s="935"/>
      <c r="BG99" s="935"/>
      <c r="BH99" s="935"/>
      <c r="BI99" s="935"/>
      <c r="BJ99" s="935"/>
      <c r="BK99" s="935"/>
      <c r="BL99" s="935"/>
      <c r="BM99" s="935"/>
      <c r="BN99" s="935"/>
      <c r="BO99" s="935"/>
      <c r="BP99" s="935"/>
      <c r="BQ99" s="935"/>
      <c r="BR99" s="935"/>
      <c r="BS99" s="935"/>
      <c r="BT99" s="935"/>
    </row>
    <row r="100" spans="1:72" x14ac:dyDescent="0.25">
      <c r="A100" s="935" t="s">
        <v>479</v>
      </c>
      <c r="B100" s="935">
        <v>19.02</v>
      </c>
      <c r="C100" s="935">
        <v>20.21</v>
      </c>
      <c r="D100" s="935">
        <v>20.04</v>
      </c>
      <c r="E100" s="935">
        <v>19.149999999999999</v>
      </c>
      <c r="F100" s="935">
        <v>17.11</v>
      </c>
      <c r="G100" s="935">
        <v>17.73</v>
      </c>
      <c r="H100" s="935">
        <v>17.62</v>
      </c>
      <c r="I100" s="935">
        <v>17.350000000000001</v>
      </c>
      <c r="J100" s="935">
        <v>17.37</v>
      </c>
      <c r="K100" s="935">
        <v>17.62</v>
      </c>
      <c r="L100" s="935">
        <v>17.75</v>
      </c>
      <c r="M100" s="935">
        <v>17.77</v>
      </c>
      <c r="N100" s="935">
        <v>17.75</v>
      </c>
      <c r="O100" s="935">
        <v>17.920000000000002</v>
      </c>
      <c r="P100" s="935">
        <v>18.07</v>
      </c>
      <c r="Q100" s="935">
        <v>18.190000000000001</v>
      </c>
      <c r="R100" s="935">
        <v>18.38</v>
      </c>
      <c r="S100" s="935">
        <v>18.53</v>
      </c>
      <c r="T100" s="935">
        <v>18.5</v>
      </c>
      <c r="U100" s="935">
        <v>18.61</v>
      </c>
      <c r="V100" s="935">
        <v>18.78</v>
      </c>
      <c r="W100" s="935">
        <v>18.97</v>
      </c>
      <c r="X100" s="935">
        <v>19.3</v>
      </c>
      <c r="Y100" s="935">
        <v>19.579999999999998</v>
      </c>
      <c r="Z100" s="935">
        <v>19.88</v>
      </c>
      <c r="AA100" s="935">
        <v>20.16</v>
      </c>
      <c r="AB100" s="935">
        <v>20.3</v>
      </c>
      <c r="AC100" s="935">
        <v>20.52</v>
      </c>
      <c r="AD100" s="935">
        <v>20.71</v>
      </c>
      <c r="AE100" s="974">
        <v>1E-3</v>
      </c>
      <c r="AF100" s="935"/>
      <c r="AG100" s="935"/>
      <c r="AH100" s="935"/>
      <c r="AI100" s="935"/>
      <c r="AJ100" s="935"/>
      <c r="AK100" s="935"/>
      <c r="AL100" s="935"/>
      <c r="AM100" s="935"/>
      <c r="AN100" s="935"/>
      <c r="AO100" s="935"/>
      <c r="AP100" s="935"/>
      <c r="AQ100" s="935"/>
      <c r="AR100" s="935"/>
      <c r="AS100" s="935"/>
      <c r="AT100" s="935"/>
      <c r="AU100" s="935"/>
      <c r="AV100" s="935"/>
      <c r="AW100" s="935"/>
      <c r="AX100" s="935"/>
      <c r="AY100" s="935"/>
      <c r="AZ100" s="935"/>
      <c r="BA100" s="935"/>
      <c r="BB100" s="935"/>
      <c r="BC100" s="935"/>
      <c r="BD100" s="935"/>
      <c r="BE100" s="935"/>
      <c r="BF100" s="935"/>
      <c r="BG100" s="935"/>
      <c r="BH100" s="935"/>
      <c r="BI100" s="935"/>
      <c r="BJ100" s="935"/>
      <c r="BK100" s="935"/>
      <c r="BL100" s="935"/>
      <c r="BM100" s="935"/>
      <c r="BN100" s="935"/>
      <c r="BO100" s="935"/>
      <c r="BP100" s="935"/>
      <c r="BQ100" s="935"/>
      <c r="BR100" s="935"/>
      <c r="BS100" s="935"/>
      <c r="BT100" s="935"/>
    </row>
    <row r="101" spans="1:72" x14ac:dyDescent="0.25">
      <c r="A101" s="935"/>
      <c r="B101" s="935"/>
      <c r="C101" s="935"/>
      <c r="D101" s="935"/>
      <c r="E101" s="935"/>
      <c r="F101" s="935"/>
      <c r="G101" s="935"/>
      <c r="H101" s="935"/>
      <c r="I101" s="935"/>
      <c r="J101" s="935"/>
      <c r="K101" s="935"/>
      <c r="L101" s="935"/>
      <c r="M101" s="935"/>
      <c r="N101" s="935"/>
      <c r="O101" s="935"/>
      <c r="P101" s="935"/>
      <c r="Q101" s="935"/>
      <c r="R101" s="935"/>
      <c r="S101" s="935"/>
      <c r="T101" s="935"/>
      <c r="U101" s="935"/>
      <c r="V101" s="935"/>
      <c r="W101" s="935"/>
      <c r="X101" s="935"/>
      <c r="Y101" s="935"/>
      <c r="Z101" s="935"/>
      <c r="AA101" s="935"/>
      <c r="AB101" s="935"/>
      <c r="AC101" s="935"/>
      <c r="AD101" s="935"/>
      <c r="AE101" s="935"/>
      <c r="AF101" s="935"/>
      <c r="AG101" s="935"/>
      <c r="AH101" s="935"/>
      <c r="AI101" s="935"/>
      <c r="AJ101" s="935"/>
      <c r="AK101" s="935"/>
      <c r="AL101" s="935"/>
      <c r="AM101" s="935"/>
      <c r="AN101" s="935"/>
      <c r="AO101" s="935"/>
      <c r="AP101" s="935"/>
      <c r="AQ101" s="935"/>
      <c r="AR101" s="935"/>
      <c r="AS101" s="935"/>
      <c r="AT101" s="935"/>
      <c r="AU101" s="935"/>
      <c r="AV101" s="935"/>
      <c r="AW101" s="935"/>
      <c r="AX101" s="935"/>
      <c r="AY101" s="935"/>
      <c r="AZ101" s="935"/>
      <c r="BA101" s="935"/>
      <c r="BB101" s="935"/>
      <c r="BC101" s="935"/>
      <c r="BD101" s="935"/>
      <c r="BE101" s="935"/>
      <c r="BF101" s="935"/>
      <c r="BG101" s="935"/>
      <c r="BH101" s="935"/>
      <c r="BI101" s="935"/>
      <c r="BJ101" s="935"/>
      <c r="BK101" s="935"/>
      <c r="BL101" s="935"/>
      <c r="BM101" s="935"/>
      <c r="BN101" s="935"/>
      <c r="BO101" s="935"/>
      <c r="BP101" s="935"/>
      <c r="BQ101" s="935"/>
      <c r="BR101" s="935"/>
      <c r="BS101" s="935"/>
      <c r="BT101" s="935"/>
    </row>
    <row r="102" spans="1:72" x14ac:dyDescent="0.25">
      <c r="A102" s="935" t="s">
        <v>487</v>
      </c>
      <c r="B102" s="935"/>
      <c r="C102" s="935"/>
      <c r="D102" s="935"/>
      <c r="E102" s="935"/>
      <c r="F102" s="935"/>
      <c r="G102" s="935"/>
      <c r="H102" s="935"/>
      <c r="I102" s="935"/>
      <c r="J102" s="935"/>
      <c r="K102" s="935"/>
      <c r="L102" s="935"/>
      <c r="M102" s="935"/>
      <c r="N102" s="935"/>
      <c r="O102" s="935"/>
      <c r="P102" s="935"/>
      <c r="Q102" s="935"/>
      <c r="R102" s="935"/>
      <c r="S102" s="935"/>
      <c r="T102" s="935"/>
      <c r="U102" s="935"/>
      <c r="V102" s="935"/>
      <c r="W102" s="935"/>
      <c r="X102" s="935"/>
      <c r="Y102" s="935"/>
      <c r="Z102" s="935"/>
      <c r="AA102" s="935"/>
      <c r="AB102" s="935"/>
      <c r="AC102" s="935"/>
      <c r="AD102" s="935"/>
      <c r="AE102" s="935"/>
      <c r="AF102" s="935"/>
      <c r="AG102" s="935"/>
      <c r="AH102" s="935"/>
      <c r="AI102" s="935"/>
      <c r="AJ102" s="935"/>
      <c r="AK102" s="935"/>
      <c r="AL102" s="935"/>
      <c r="AM102" s="935"/>
      <c r="AN102" s="935"/>
      <c r="AO102" s="935"/>
      <c r="AP102" s="935"/>
      <c r="AQ102" s="935"/>
      <c r="AR102" s="935"/>
      <c r="AS102" s="935"/>
      <c r="AT102" s="935"/>
      <c r="AU102" s="935"/>
      <c r="AV102" s="935"/>
      <c r="AW102" s="935"/>
      <c r="AX102" s="935"/>
      <c r="AY102" s="935"/>
      <c r="AZ102" s="935"/>
      <c r="BA102" s="935"/>
      <c r="BB102" s="935"/>
      <c r="BC102" s="935"/>
      <c r="BD102" s="935"/>
      <c r="BE102" s="935"/>
      <c r="BF102" s="935"/>
      <c r="BG102" s="935"/>
      <c r="BH102" s="935"/>
      <c r="BI102" s="935"/>
      <c r="BJ102" s="935"/>
      <c r="BK102" s="935"/>
      <c r="BL102" s="935"/>
      <c r="BM102" s="935"/>
      <c r="BN102" s="935"/>
      <c r="BO102" s="935"/>
      <c r="BP102" s="935"/>
      <c r="BQ102" s="935"/>
      <c r="BR102" s="935"/>
      <c r="BS102" s="935"/>
      <c r="BT102" s="935"/>
    </row>
    <row r="103" spans="1:72" x14ac:dyDescent="0.25">
      <c r="A103" s="935" t="s">
        <v>617</v>
      </c>
      <c r="B103" s="935">
        <v>23.83</v>
      </c>
      <c r="C103" s="935">
        <v>29.93</v>
      </c>
      <c r="D103" s="935">
        <v>25.2</v>
      </c>
      <c r="E103" s="935">
        <v>23.89</v>
      </c>
      <c r="F103" s="935">
        <v>23.98</v>
      </c>
      <c r="G103" s="935">
        <v>25.13</v>
      </c>
      <c r="H103" s="935">
        <v>26.33</v>
      </c>
      <c r="I103" s="935">
        <v>27.29</v>
      </c>
      <c r="J103" s="935">
        <v>27.88</v>
      </c>
      <c r="K103" s="935">
        <v>28.53</v>
      </c>
      <c r="L103" s="935">
        <v>29.07</v>
      </c>
      <c r="M103" s="935">
        <v>29.65</v>
      </c>
      <c r="N103" s="935">
        <v>29.91</v>
      </c>
      <c r="O103" s="935">
        <v>30.13</v>
      </c>
      <c r="P103" s="935">
        <v>30.36</v>
      </c>
      <c r="Q103" s="935">
        <v>30.56</v>
      </c>
      <c r="R103" s="935">
        <v>30.83</v>
      </c>
      <c r="S103" s="935">
        <v>31.1</v>
      </c>
      <c r="T103" s="935">
        <v>31.36</v>
      </c>
      <c r="U103" s="935">
        <v>31.5</v>
      </c>
      <c r="V103" s="935">
        <v>31.77</v>
      </c>
      <c r="W103" s="935">
        <v>32.01</v>
      </c>
      <c r="X103" s="935">
        <v>32.36</v>
      </c>
      <c r="Y103" s="935">
        <v>32.58</v>
      </c>
      <c r="Z103" s="935">
        <v>32.93</v>
      </c>
      <c r="AA103" s="935">
        <v>33.26</v>
      </c>
      <c r="AB103" s="935">
        <v>33.64</v>
      </c>
      <c r="AC103" s="935">
        <v>34</v>
      </c>
      <c r="AD103" s="935">
        <v>34.380000000000003</v>
      </c>
      <c r="AE103" s="974">
        <v>5.0000000000000001E-3</v>
      </c>
      <c r="AF103" s="935"/>
      <c r="AG103" s="935"/>
      <c r="AH103" s="935"/>
      <c r="AI103" s="935"/>
      <c r="AJ103" s="935"/>
      <c r="AK103" s="935"/>
      <c r="AL103" s="935"/>
      <c r="AM103" s="935"/>
      <c r="AN103" s="935"/>
      <c r="AO103" s="935"/>
      <c r="AP103" s="935"/>
      <c r="AQ103" s="935"/>
      <c r="AR103" s="935"/>
      <c r="AS103" s="935"/>
      <c r="AT103" s="935"/>
      <c r="AU103" s="935"/>
      <c r="AV103" s="935"/>
      <c r="AW103" s="935"/>
      <c r="AX103" s="935"/>
      <c r="AY103" s="935"/>
      <c r="AZ103" s="935"/>
      <c r="BA103" s="935"/>
      <c r="BB103" s="935"/>
      <c r="BC103" s="935"/>
      <c r="BD103" s="935"/>
      <c r="BE103" s="935"/>
      <c r="BF103" s="935"/>
      <c r="BG103" s="935"/>
      <c r="BH103" s="935"/>
      <c r="BI103" s="935"/>
      <c r="BJ103" s="935"/>
      <c r="BK103" s="935"/>
      <c r="BL103" s="935"/>
      <c r="BM103" s="935"/>
      <c r="BN103" s="935"/>
      <c r="BO103" s="935"/>
      <c r="BP103" s="935"/>
      <c r="BQ103" s="935"/>
      <c r="BR103" s="935"/>
      <c r="BS103" s="935"/>
      <c r="BT103" s="935"/>
    </row>
    <row r="104" spans="1:72" x14ac:dyDescent="0.25">
      <c r="A104" s="935" t="s">
        <v>618</v>
      </c>
      <c r="B104" s="935">
        <v>27.43</v>
      </c>
      <c r="C104" s="935">
        <v>26.93</v>
      </c>
      <c r="D104" s="935">
        <v>23.29</v>
      </c>
      <c r="E104" s="935">
        <v>20.64</v>
      </c>
      <c r="F104" s="935">
        <v>20.97</v>
      </c>
      <c r="G104" s="935">
        <v>22.13</v>
      </c>
      <c r="H104" s="935">
        <v>24.21</v>
      </c>
      <c r="I104" s="935">
        <v>25.23</v>
      </c>
      <c r="J104" s="935">
        <v>25.55</v>
      </c>
      <c r="K104" s="935">
        <v>25.08</v>
      </c>
      <c r="L104" s="935">
        <v>25.9</v>
      </c>
      <c r="M104" s="935">
        <v>26.54</v>
      </c>
      <c r="N104" s="935">
        <v>26.68</v>
      </c>
      <c r="O104" s="935">
        <v>26.95</v>
      </c>
      <c r="P104" s="935">
        <v>27.32</v>
      </c>
      <c r="Q104" s="935">
        <v>27.82</v>
      </c>
      <c r="R104" s="935">
        <v>28.31</v>
      </c>
      <c r="S104" s="935">
        <v>28.55</v>
      </c>
      <c r="T104" s="935">
        <v>28.86</v>
      </c>
      <c r="U104" s="935">
        <v>29.22</v>
      </c>
      <c r="V104" s="935">
        <v>29.49</v>
      </c>
      <c r="W104" s="935">
        <v>30.03</v>
      </c>
      <c r="X104" s="935">
        <v>30.44</v>
      </c>
      <c r="Y104" s="935">
        <v>30.64</v>
      </c>
      <c r="Z104" s="935">
        <v>30.86</v>
      </c>
      <c r="AA104" s="935">
        <v>31.29</v>
      </c>
      <c r="AB104" s="935">
        <v>31.49</v>
      </c>
      <c r="AC104" s="935">
        <v>31.77</v>
      </c>
      <c r="AD104" s="935">
        <v>32.229999999999997</v>
      </c>
      <c r="AE104" s="974">
        <v>7.0000000000000001E-3</v>
      </c>
      <c r="AF104" s="935"/>
      <c r="AG104" s="935"/>
      <c r="AH104" s="935"/>
      <c r="AI104" s="935"/>
      <c r="AJ104" s="935"/>
      <c r="AK104" s="935"/>
      <c r="AL104" s="935"/>
      <c r="AM104" s="935"/>
      <c r="AN104" s="935"/>
      <c r="AO104" s="935"/>
      <c r="AP104" s="935"/>
      <c r="AQ104" s="935"/>
      <c r="AR104" s="935"/>
      <c r="AS104" s="935"/>
      <c r="AT104" s="935"/>
      <c r="AU104" s="935"/>
      <c r="AV104" s="935"/>
      <c r="AW104" s="935"/>
      <c r="AX104" s="935"/>
      <c r="AY104" s="935"/>
      <c r="AZ104" s="935"/>
      <c r="BA104" s="935"/>
      <c r="BB104" s="935"/>
      <c r="BC104" s="935"/>
      <c r="BD104" s="935"/>
      <c r="BE104" s="935"/>
      <c r="BF104" s="935"/>
      <c r="BG104" s="935"/>
      <c r="BH104" s="935"/>
      <c r="BI104" s="935"/>
      <c r="BJ104" s="935"/>
      <c r="BK104" s="935"/>
      <c r="BL104" s="935"/>
      <c r="BM104" s="935"/>
      <c r="BN104" s="935"/>
      <c r="BO104" s="935"/>
      <c r="BP104" s="935"/>
      <c r="BQ104" s="935"/>
      <c r="BR104" s="935"/>
      <c r="BS104" s="935"/>
      <c r="BT104" s="935"/>
    </row>
    <row r="105" spans="1:72" x14ac:dyDescent="0.25">
      <c r="A105" s="935" t="s">
        <v>619</v>
      </c>
      <c r="B105" s="935">
        <v>23.66</v>
      </c>
      <c r="C105" s="935">
        <v>26.76</v>
      </c>
      <c r="D105" s="935">
        <v>19.14</v>
      </c>
      <c r="E105" s="935">
        <v>20.55</v>
      </c>
      <c r="F105" s="935">
        <v>20.88</v>
      </c>
      <c r="G105" s="935">
        <v>22.03</v>
      </c>
      <c r="H105" s="935">
        <v>24.02</v>
      </c>
      <c r="I105" s="935">
        <v>24.94</v>
      </c>
      <c r="J105" s="935">
        <v>25.37</v>
      </c>
      <c r="K105" s="935">
        <v>25.94</v>
      </c>
      <c r="L105" s="935">
        <v>26.47</v>
      </c>
      <c r="M105" s="935">
        <v>26.89</v>
      </c>
      <c r="N105" s="935">
        <v>27.2</v>
      </c>
      <c r="O105" s="935">
        <v>27.59</v>
      </c>
      <c r="P105" s="935">
        <v>27.82</v>
      </c>
      <c r="Q105" s="935">
        <v>28.18</v>
      </c>
      <c r="R105" s="935">
        <v>28.42</v>
      </c>
      <c r="S105" s="935">
        <v>28.54</v>
      </c>
      <c r="T105" s="935">
        <v>28.87</v>
      </c>
      <c r="U105" s="935">
        <v>29.19</v>
      </c>
      <c r="V105" s="935">
        <v>29.47</v>
      </c>
      <c r="W105" s="935">
        <v>29.9</v>
      </c>
      <c r="X105" s="935">
        <v>30.27</v>
      </c>
      <c r="Y105" s="935">
        <v>30.42</v>
      </c>
      <c r="Z105" s="935">
        <v>30.77</v>
      </c>
      <c r="AA105" s="935">
        <v>31.16</v>
      </c>
      <c r="AB105" s="935">
        <v>31.44</v>
      </c>
      <c r="AC105" s="935">
        <v>31.81</v>
      </c>
      <c r="AD105" s="935">
        <v>32.33</v>
      </c>
      <c r="AE105" s="974">
        <v>7.0000000000000001E-3</v>
      </c>
      <c r="AF105" s="935"/>
      <c r="AG105" s="935"/>
      <c r="AH105" s="935"/>
      <c r="AI105" s="935"/>
      <c r="AJ105" s="935"/>
      <c r="AK105" s="935"/>
      <c r="AL105" s="935"/>
      <c r="AM105" s="935"/>
      <c r="AN105" s="935"/>
      <c r="AO105" s="935"/>
      <c r="AP105" s="935"/>
      <c r="AQ105" s="935"/>
      <c r="AR105" s="935"/>
      <c r="AS105" s="935"/>
      <c r="AT105" s="935"/>
      <c r="AU105" s="935"/>
      <c r="AV105" s="935"/>
      <c r="AW105" s="935"/>
      <c r="AX105" s="935"/>
      <c r="AY105" s="935"/>
      <c r="AZ105" s="935"/>
      <c r="BA105" s="935"/>
      <c r="BB105" s="935"/>
      <c r="BC105" s="935"/>
      <c r="BD105" s="935"/>
      <c r="BE105" s="935"/>
      <c r="BF105" s="935"/>
      <c r="BG105" s="935"/>
      <c r="BH105" s="935"/>
      <c r="BI105" s="935"/>
      <c r="BJ105" s="935"/>
      <c r="BK105" s="935"/>
      <c r="BL105" s="935"/>
      <c r="BM105" s="935"/>
      <c r="BN105" s="935"/>
      <c r="BO105" s="935"/>
      <c r="BP105" s="935"/>
      <c r="BQ105" s="935"/>
      <c r="BR105" s="935"/>
      <c r="BS105" s="935"/>
      <c r="BT105" s="935"/>
    </row>
    <row r="106" spans="1:72" x14ac:dyDescent="0.25">
      <c r="A106" s="935" t="s">
        <v>620</v>
      </c>
      <c r="B106" s="935">
        <v>15.77</v>
      </c>
      <c r="C106" s="935">
        <v>22.71</v>
      </c>
      <c r="D106" s="935">
        <v>12.73</v>
      </c>
      <c r="E106" s="935">
        <v>14.79</v>
      </c>
      <c r="F106" s="935">
        <v>15.16</v>
      </c>
      <c r="G106" s="935">
        <v>16.54</v>
      </c>
      <c r="H106" s="935">
        <v>17.690000000000001</v>
      </c>
      <c r="I106" s="935">
        <v>18.46</v>
      </c>
      <c r="J106" s="935">
        <v>19.04</v>
      </c>
      <c r="K106" s="935">
        <v>19.760000000000002</v>
      </c>
      <c r="L106" s="935">
        <v>20.41</v>
      </c>
      <c r="M106" s="935">
        <v>20.97</v>
      </c>
      <c r="N106" s="935">
        <v>21.35</v>
      </c>
      <c r="O106" s="935">
        <v>21.69</v>
      </c>
      <c r="P106" s="935">
        <v>21.85</v>
      </c>
      <c r="Q106" s="935">
        <v>22.09</v>
      </c>
      <c r="R106" s="935">
        <v>22.41</v>
      </c>
      <c r="S106" s="935">
        <v>22.61</v>
      </c>
      <c r="T106" s="935">
        <v>22.92</v>
      </c>
      <c r="U106" s="935">
        <v>23.19</v>
      </c>
      <c r="V106" s="935">
        <v>23.48</v>
      </c>
      <c r="W106" s="935">
        <v>23.9</v>
      </c>
      <c r="X106" s="935">
        <v>24.26</v>
      </c>
      <c r="Y106" s="935">
        <v>24.51</v>
      </c>
      <c r="Z106" s="935">
        <v>24.9</v>
      </c>
      <c r="AA106" s="935">
        <v>25.3</v>
      </c>
      <c r="AB106" s="935">
        <v>25.64</v>
      </c>
      <c r="AC106" s="935">
        <v>26.05</v>
      </c>
      <c r="AD106" s="935">
        <v>26.48</v>
      </c>
      <c r="AE106" s="974">
        <v>6.0000000000000001E-3</v>
      </c>
      <c r="AF106" s="935"/>
      <c r="AG106" s="935"/>
      <c r="AH106" s="935"/>
      <c r="AI106" s="935"/>
      <c r="AJ106" s="935"/>
      <c r="AK106" s="935"/>
      <c r="AL106" s="935"/>
      <c r="AM106" s="935"/>
      <c r="AN106" s="935"/>
      <c r="AO106" s="935"/>
      <c r="AP106" s="935"/>
      <c r="AQ106" s="935"/>
      <c r="AR106" s="935"/>
      <c r="AS106" s="935"/>
      <c r="AT106" s="935"/>
      <c r="AU106" s="935"/>
      <c r="AV106" s="935"/>
      <c r="AW106" s="935"/>
      <c r="AX106" s="935"/>
      <c r="AY106" s="935"/>
      <c r="AZ106" s="935"/>
      <c r="BA106" s="935"/>
      <c r="BB106" s="935"/>
      <c r="BC106" s="935"/>
      <c r="BD106" s="935"/>
      <c r="BE106" s="935"/>
      <c r="BF106" s="935"/>
      <c r="BG106" s="935"/>
      <c r="BH106" s="935"/>
      <c r="BI106" s="935"/>
      <c r="BJ106" s="935"/>
      <c r="BK106" s="935"/>
      <c r="BL106" s="935"/>
      <c r="BM106" s="935"/>
      <c r="BN106" s="935"/>
      <c r="BO106" s="935"/>
      <c r="BP106" s="935"/>
      <c r="BQ106" s="935"/>
      <c r="BR106" s="935"/>
      <c r="BS106" s="935"/>
      <c r="BT106" s="935"/>
    </row>
    <row r="107" spans="1:72" x14ac:dyDescent="0.25">
      <c r="A107" s="935" t="s">
        <v>724</v>
      </c>
      <c r="B107" s="935">
        <v>21.55</v>
      </c>
      <c r="C107" s="935">
        <v>27.65</v>
      </c>
      <c r="D107" s="935">
        <v>17.77</v>
      </c>
      <c r="E107" s="935">
        <v>19.12</v>
      </c>
      <c r="F107" s="935">
        <v>19.309999999999999</v>
      </c>
      <c r="G107" s="935">
        <v>20.51</v>
      </c>
      <c r="H107" s="935">
        <v>21.54</v>
      </c>
      <c r="I107" s="935">
        <v>22.25</v>
      </c>
      <c r="J107" s="935">
        <v>22.93</v>
      </c>
      <c r="K107" s="935">
        <v>23.68</v>
      </c>
      <c r="L107" s="935">
        <v>24.26</v>
      </c>
      <c r="M107" s="935">
        <v>24.91</v>
      </c>
      <c r="N107" s="935">
        <v>25.29</v>
      </c>
      <c r="O107" s="935">
        <v>25.6</v>
      </c>
      <c r="P107" s="935">
        <v>25.79</v>
      </c>
      <c r="Q107" s="935">
        <v>26.12</v>
      </c>
      <c r="R107" s="935">
        <v>26.26</v>
      </c>
      <c r="S107" s="935">
        <v>26.34</v>
      </c>
      <c r="T107" s="935">
        <v>26.63</v>
      </c>
      <c r="U107" s="935">
        <v>26.83</v>
      </c>
      <c r="V107" s="935">
        <v>27.09</v>
      </c>
      <c r="W107" s="935">
        <v>27.4</v>
      </c>
      <c r="X107" s="935">
        <v>27.8</v>
      </c>
      <c r="Y107" s="935">
        <v>27.96</v>
      </c>
      <c r="Z107" s="935">
        <v>28.38</v>
      </c>
      <c r="AA107" s="935">
        <v>28.78</v>
      </c>
      <c r="AB107" s="935">
        <v>29.09</v>
      </c>
      <c r="AC107" s="935">
        <v>29.49</v>
      </c>
      <c r="AD107" s="935">
        <v>29.96</v>
      </c>
      <c r="AE107" s="974">
        <v>3.0000000000000001E-3</v>
      </c>
      <c r="AF107" s="935"/>
      <c r="AG107" s="935"/>
      <c r="AH107" s="935"/>
      <c r="AI107" s="935"/>
      <c r="AJ107" s="935"/>
      <c r="AK107" s="935"/>
      <c r="AL107" s="935"/>
      <c r="AM107" s="935"/>
      <c r="AN107" s="935"/>
      <c r="AO107" s="935"/>
      <c r="AP107" s="935"/>
      <c r="AQ107" s="935"/>
      <c r="AR107" s="935"/>
      <c r="AS107" s="935"/>
      <c r="AT107" s="935"/>
      <c r="AU107" s="935"/>
      <c r="AV107" s="935"/>
      <c r="AW107" s="935"/>
      <c r="AX107" s="935"/>
      <c r="AY107" s="935"/>
      <c r="AZ107" s="935"/>
      <c r="BA107" s="935"/>
      <c r="BB107" s="935"/>
      <c r="BC107" s="935"/>
      <c r="BD107" s="935"/>
      <c r="BE107" s="935"/>
      <c r="BF107" s="935"/>
      <c r="BG107" s="935"/>
      <c r="BH107" s="935"/>
      <c r="BI107" s="935"/>
      <c r="BJ107" s="935"/>
      <c r="BK107" s="935"/>
      <c r="BL107" s="935"/>
      <c r="BM107" s="935"/>
      <c r="BN107" s="935"/>
      <c r="BO107" s="935"/>
      <c r="BP107" s="935"/>
      <c r="BQ107" s="935"/>
      <c r="BR107" s="935"/>
      <c r="BS107" s="935"/>
      <c r="BT107" s="935"/>
    </row>
    <row r="108" spans="1:72" x14ac:dyDescent="0.25">
      <c r="A108" s="935" t="s">
        <v>611</v>
      </c>
      <c r="B108" s="935">
        <v>9.19</v>
      </c>
      <c r="C108" s="935">
        <v>14.49</v>
      </c>
      <c r="D108" s="935">
        <v>8.86</v>
      </c>
      <c r="E108" s="935">
        <v>10.210000000000001</v>
      </c>
      <c r="F108" s="935">
        <v>10.32</v>
      </c>
      <c r="G108" s="935">
        <v>11.5</v>
      </c>
      <c r="H108" s="935">
        <v>12.44</v>
      </c>
      <c r="I108" s="935">
        <v>13.18</v>
      </c>
      <c r="J108" s="935">
        <v>13.58</v>
      </c>
      <c r="K108" s="935">
        <v>13.9</v>
      </c>
      <c r="L108" s="935">
        <v>14.43</v>
      </c>
      <c r="M108" s="935">
        <v>14.81</v>
      </c>
      <c r="N108" s="935">
        <v>14.97</v>
      </c>
      <c r="O108" s="935">
        <v>14.99</v>
      </c>
      <c r="P108" s="935">
        <v>15.23</v>
      </c>
      <c r="Q108" s="935">
        <v>15.34</v>
      </c>
      <c r="R108" s="935">
        <v>15.55</v>
      </c>
      <c r="S108" s="935">
        <v>15.75</v>
      </c>
      <c r="T108" s="935">
        <v>15.93</v>
      </c>
      <c r="U108" s="935">
        <v>15.98</v>
      </c>
      <c r="V108" s="935">
        <v>16.27</v>
      </c>
      <c r="W108" s="935">
        <v>16.5</v>
      </c>
      <c r="X108" s="935">
        <v>16.8</v>
      </c>
      <c r="Y108" s="935">
        <v>17.100000000000001</v>
      </c>
      <c r="Z108" s="935">
        <v>17.420000000000002</v>
      </c>
      <c r="AA108" s="935">
        <v>17.690000000000001</v>
      </c>
      <c r="AB108" s="935">
        <v>17.93</v>
      </c>
      <c r="AC108" s="935">
        <v>18.239999999999998</v>
      </c>
      <c r="AD108" s="935">
        <v>18.600000000000001</v>
      </c>
      <c r="AE108" s="974">
        <v>8.9999999999999993E-3</v>
      </c>
      <c r="AF108" s="935"/>
      <c r="AG108" s="935"/>
      <c r="AH108" s="935"/>
      <c r="AI108" s="935"/>
      <c r="AJ108" s="935"/>
      <c r="AK108" s="935"/>
      <c r="AL108" s="935"/>
      <c r="AM108" s="935"/>
      <c r="AN108" s="935"/>
      <c r="AO108" s="935"/>
      <c r="AP108" s="935"/>
      <c r="AQ108" s="935"/>
      <c r="AR108" s="935"/>
      <c r="AS108" s="935"/>
      <c r="AT108" s="935"/>
      <c r="AU108" s="935"/>
      <c r="AV108" s="935"/>
      <c r="AW108" s="935"/>
      <c r="AX108" s="935"/>
      <c r="AY108" s="935"/>
      <c r="AZ108" s="935"/>
      <c r="BA108" s="935"/>
      <c r="BB108" s="935"/>
      <c r="BC108" s="935"/>
      <c r="BD108" s="935"/>
      <c r="BE108" s="935"/>
      <c r="BF108" s="935"/>
      <c r="BG108" s="935"/>
      <c r="BH108" s="935"/>
      <c r="BI108" s="935"/>
      <c r="BJ108" s="935"/>
      <c r="BK108" s="935"/>
      <c r="BL108" s="935"/>
      <c r="BM108" s="935"/>
      <c r="BN108" s="935"/>
      <c r="BO108" s="935"/>
      <c r="BP108" s="935"/>
      <c r="BQ108" s="935"/>
      <c r="BR108" s="935"/>
      <c r="BS108" s="935"/>
      <c r="BT108" s="935"/>
    </row>
    <row r="109" spans="1:72" x14ac:dyDescent="0.25">
      <c r="A109" s="935" t="s">
        <v>622</v>
      </c>
      <c r="B109" s="935">
        <v>13.84</v>
      </c>
      <c r="C109" s="935">
        <v>15.96</v>
      </c>
      <c r="D109" s="935">
        <v>11.36</v>
      </c>
      <c r="E109" s="935">
        <v>12</v>
      </c>
      <c r="F109" s="935">
        <v>13.09</v>
      </c>
      <c r="G109" s="935">
        <v>13.49</v>
      </c>
      <c r="H109" s="935">
        <v>13.36</v>
      </c>
      <c r="I109" s="935">
        <v>13.25</v>
      </c>
      <c r="J109" s="935">
        <v>13.37</v>
      </c>
      <c r="K109" s="935">
        <v>13.41</v>
      </c>
      <c r="L109" s="935">
        <v>13.38</v>
      </c>
      <c r="M109" s="935">
        <v>13.37</v>
      </c>
      <c r="N109" s="935">
        <v>13.38</v>
      </c>
      <c r="O109" s="935">
        <v>13.44</v>
      </c>
      <c r="P109" s="935">
        <v>13.46</v>
      </c>
      <c r="Q109" s="935">
        <v>13.58</v>
      </c>
      <c r="R109" s="935">
        <v>13.54</v>
      </c>
      <c r="S109" s="935">
        <v>13.41</v>
      </c>
      <c r="T109" s="935">
        <v>13.43</v>
      </c>
      <c r="U109" s="935">
        <v>13.54</v>
      </c>
      <c r="V109" s="935">
        <v>13.65</v>
      </c>
      <c r="W109" s="935">
        <v>13.83</v>
      </c>
      <c r="X109" s="935">
        <v>14</v>
      </c>
      <c r="Y109" s="935">
        <v>14.19</v>
      </c>
      <c r="Z109" s="935">
        <v>14.46</v>
      </c>
      <c r="AA109" s="935">
        <v>14.54</v>
      </c>
      <c r="AB109" s="935">
        <v>14.55</v>
      </c>
      <c r="AC109" s="935">
        <v>14.7</v>
      </c>
      <c r="AD109" s="935">
        <v>14.78</v>
      </c>
      <c r="AE109" s="974">
        <v>-3.0000000000000001E-3</v>
      </c>
      <c r="AF109" s="935"/>
      <c r="AG109" s="935"/>
      <c r="AH109" s="935"/>
      <c r="AI109" s="935"/>
      <c r="AJ109" s="935"/>
      <c r="AK109" s="935"/>
      <c r="AL109" s="935"/>
      <c r="AM109" s="935"/>
      <c r="AN109" s="935"/>
      <c r="AO109" s="935"/>
      <c r="AP109" s="935"/>
      <c r="AQ109" s="935"/>
      <c r="AR109" s="935"/>
      <c r="AS109" s="935"/>
      <c r="AT109" s="935"/>
      <c r="AU109" s="935"/>
      <c r="AV109" s="935"/>
      <c r="AW109" s="935"/>
      <c r="AX109" s="935"/>
      <c r="AY109" s="935"/>
      <c r="AZ109" s="935"/>
      <c r="BA109" s="935"/>
      <c r="BB109" s="935"/>
      <c r="BC109" s="935"/>
      <c r="BD109" s="935"/>
      <c r="BE109" s="935"/>
      <c r="BF109" s="935"/>
      <c r="BG109" s="935"/>
      <c r="BH109" s="935"/>
      <c r="BI109" s="935"/>
      <c r="BJ109" s="935"/>
      <c r="BK109" s="935"/>
      <c r="BL109" s="935"/>
      <c r="BM109" s="935"/>
      <c r="BN109" s="935"/>
      <c r="BO109" s="935"/>
      <c r="BP109" s="935"/>
      <c r="BQ109" s="935"/>
      <c r="BR109" s="935"/>
      <c r="BS109" s="935"/>
      <c r="BT109" s="935"/>
    </row>
    <row r="110" spans="1:72" x14ac:dyDescent="0.25">
      <c r="A110" s="935" t="s">
        <v>479</v>
      </c>
      <c r="B110" s="935">
        <v>32.03</v>
      </c>
      <c r="C110" s="935">
        <v>33.729999999999997</v>
      </c>
      <c r="D110" s="935">
        <v>32.299999999999997</v>
      </c>
      <c r="E110" s="935">
        <v>30.29</v>
      </c>
      <c r="F110" s="935">
        <v>27.63</v>
      </c>
      <c r="G110" s="935">
        <v>29.66</v>
      </c>
      <c r="H110" s="935">
        <v>29.72</v>
      </c>
      <c r="I110" s="935">
        <v>29.07</v>
      </c>
      <c r="J110" s="935">
        <v>28.79</v>
      </c>
      <c r="K110" s="935">
        <v>29.01</v>
      </c>
      <c r="L110" s="935">
        <v>29.04</v>
      </c>
      <c r="M110" s="935">
        <v>28.87</v>
      </c>
      <c r="N110" s="935">
        <v>28.59</v>
      </c>
      <c r="O110" s="935">
        <v>28.55</v>
      </c>
      <c r="P110" s="935">
        <v>28.54</v>
      </c>
      <c r="Q110" s="935">
        <v>28.43</v>
      </c>
      <c r="R110" s="935">
        <v>28.48</v>
      </c>
      <c r="S110" s="935">
        <v>28.64</v>
      </c>
      <c r="T110" s="935">
        <v>28.63</v>
      </c>
      <c r="U110" s="935">
        <v>28.88</v>
      </c>
      <c r="V110" s="935">
        <v>29.32</v>
      </c>
      <c r="W110" s="935">
        <v>29.79</v>
      </c>
      <c r="X110" s="935">
        <v>30.51</v>
      </c>
      <c r="Y110" s="935">
        <v>31.01</v>
      </c>
      <c r="Z110" s="935">
        <v>31.61</v>
      </c>
      <c r="AA110" s="935">
        <v>32.15</v>
      </c>
      <c r="AB110" s="935">
        <v>32.47</v>
      </c>
      <c r="AC110" s="935">
        <v>32.89</v>
      </c>
      <c r="AD110" s="935">
        <v>33.26</v>
      </c>
      <c r="AE110" s="974">
        <v>-1E-3</v>
      </c>
      <c r="AF110" s="935"/>
      <c r="AG110" s="935"/>
      <c r="AH110" s="935"/>
      <c r="AI110" s="935"/>
      <c r="AJ110" s="935"/>
      <c r="AK110" s="935"/>
      <c r="AL110" s="935"/>
      <c r="AM110" s="935"/>
      <c r="AN110" s="935"/>
      <c r="AO110" s="935"/>
      <c r="AP110" s="935"/>
      <c r="AQ110" s="935"/>
      <c r="AR110" s="935"/>
      <c r="AS110" s="935"/>
      <c r="AT110" s="935"/>
      <c r="AU110" s="935"/>
      <c r="AV110" s="935"/>
      <c r="AW110" s="935"/>
      <c r="AX110" s="935"/>
      <c r="AY110" s="935"/>
      <c r="AZ110" s="935"/>
      <c r="BA110" s="935"/>
      <c r="BB110" s="935"/>
      <c r="BC110" s="935"/>
      <c r="BD110" s="935"/>
      <c r="BE110" s="935"/>
      <c r="BF110" s="935"/>
      <c r="BG110" s="935"/>
      <c r="BH110" s="935"/>
      <c r="BI110" s="935"/>
      <c r="BJ110" s="935"/>
      <c r="BK110" s="935"/>
      <c r="BL110" s="935"/>
      <c r="BM110" s="935"/>
      <c r="BN110" s="935"/>
      <c r="BO110" s="935"/>
      <c r="BP110" s="935"/>
      <c r="BQ110" s="935"/>
      <c r="BR110" s="935"/>
      <c r="BS110" s="935"/>
      <c r="BT110" s="935"/>
    </row>
    <row r="111" spans="1:72" x14ac:dyDescent="0.25">
      <c r="A111" s="935"/>
      <c r="B111" s="935"/>
      <c r="C111" s="935"/>
      <c r="D111" s="935"/>
      <c r="E111" s="935"/>
      <c r="F111" s="935"/>
      <c r="G111" s="935"/>
      <c r="H111" s="935"/>
      <c r="I111" s="935"/>
      <c r="J111" s="935"/>
      <c r="K111" s="935"/>
      <c r="L111" s="935"/>
      <c r="M111" s="935"/>
      <c r="N111" s="935"/>
      <c r="O111" s="935"/>
      <c r="P111" s="935"/>
      <c r="Q111" s="935"/>
      <c r="R111" s="935"/>
      <c r="S111" s="935"/>
      <c r="T111" s="935"/>
      <c r="U111" s="935"/>
      <c r="V111" s="935"/>
      <c r="W111" s="935"/>
      <c r="X111" s="935"/>
      <c r="Y111" s="935"/>
      <c r="Z111" s="935"/>
      <c r="AA111" s="935"/>
      <c r="AB111" s="935"/>
      <c r="AC111" s="935"/>
      <c r="AD111" s="935"/>
      <c r="AE111" s="935"/>
      <c r="AF111" s="935"/>
      <c r="AG111" s="935"/>
      <c r="AH111" s="935"/>
      <c r="AI111" s="935"/>
      <c r="AJ111" s="935"/>
      <c r="AK111" s="935"/>
      <c r="AL111" s="935"/>
      <c r="AM111" s="935"/>
      <c r="AN111" s="935"/>
      <c r="AO111" s="935"/>
      <c r="AP111" s="935"/>
      <c r="AQ111" s="935"/>
      <c r="AR111" s="935"/>
      <c r="AS111" s="935"/>
      <c r="AT111" s="935"/>
      <c r="AU111" s="935"/>
      <c r="AV111" s="935"/>
      <c r="AW111" s="935"/>
      <c r="AX111" s="935"/>
      <c r="AY111" s="935"/>
      <c r="AZ111" s="935"/>
      <c r="BA111" s="935"/>
      <c r="BB111" s="935"/>
      <c r="BC111" s="935"/>
      <c r="BD111" s="935"/>
      <c r="BE111" s="935"/>
      <c r="BF111" s="935"/>
      <c r="BG111" s="935"/>
      <c r="BH111" s="935"/>
      <c r="BI111" s="935"/>
      <c r="BJ111" s="935"/>
      <c r="BK111" s="935"/>
      <c r="BL111" s="935"/>
      <c r="BM111" s="935"/>
      <c r="BN111" s="935"/>
      <c r="BO111" s="935"/>
      <c r="BP111" s="935"/>
      <c r="BQ111" s="935"/>
      <c r="BR111" s="935"/>
      <c r="BS111" s="935"/>
      <c r="BT111" s="935"/>
    </row>
    <row r="112" spans="1:72" x14ac:dyDescent="0.25">
      <c r="A112" s="935" t="s">
        <v>623</v>
      </c>
      <c r="B112" s="935"/>
      <c r="C112" s="935"/>
      <c r="D112" s="935"/>
      <c r="E112" s="935"/>
      <c r="F112" s="935"/>
      <c r="G112" s="935"/>
      <c r="H112" s="935"/>
      <c r="I112" s="935"/>
      <c r="J112" s="935"/>
      <c r="K112" s="935"/>
      <c r="L112" s="935"/>
      <c r="M112" s="935"/>
      <c r="N112" s="935"/>
      <c r="O112" s="935"/>
      <c r="P112" s="935"/>
      <c r="Q112" s="935"/>
      <c r="R112" s="935"/>
      <c r="S112" s="935"/>
      <c r="T112" s="935"/>
      <c r="U112" s="935"/>
      <c r="V112" s="935"/>
      <c r="W112" s="935"/>
      <c r="X112" s="935"/>
      <c r="Y112" s="935"/>
      <c r="Z112" s="935"/>
      <c r="AA112" s="935"/>
      <c r="AB112" s="935"/>
      <c r="AC112" s="935"/>
      <c r="AD112" s="935"/>
      <c r="AE112" s="935"/>
      <c r="AF112" s="935"/>
      <c r="AG112" s="935"/>
      <c r="AH112" s="935"/>
      <c r="AI112" s="935"/>
      <c r="AJ112" s="935"/>
      <c r="AK112" s="935"/>
      <c r="AL112" s="935"/>
      <c r="AM112" s="935"/>
      <c r="AN112" s="935"/>
      <c r="AO112" s="935"/>
      <c r="AP112" s="935"/>
      <c r="AQ112" s="935"/>
      <c r="AR112" s="935"/>
      <c r="AS112" s="935"/>
      <c r="AT112" s="935"/>
      <c r="AU112" s="935"/>
      <c r="AV112" s="935"/>
      <c r="AW112" s="935"/>
      <c r="AX112" s="935"/>
      <c r="AY112" s="935"/>
      <c r="AZ112" s="935"/>
      <c r="BA112" s="935"/>
      <c r="BB112" s="935"/>
      <c r="BC112" s="935"/>
      <c r="BD112" s="935"/>
      <c r="BE112" s="935"/>
      <c r="BF112" s="935"/>
      <c r="BG112" s="935"/>
      <c r="BH112" s="935"/>
      <c r="BI112" s="935"/>
      <c r="BJ112" s="935"/>
      <c r="BK112" s="935"/>
      <c r="BL112" s="935"/>
      <c r="BM112" s="935"/>
      <c r="BN112" s="935"/>
      <c r="BO112" s="935"/>
      <c r="BP112" s="935"/>
      <c r="BQ112" s="935"/>
      <c r="BR112" s="935"/>
      <c r="BS112" s="935"/>
      <c r="BT112" s="935"/>
    </row>
    <row r="113" spans="1:72" x14ac:dyDescent="0.25">
      <c r="A113" s="935" t="s">
        <v>610</v>
      </c>
      <c r="B113" s="935">
        <v>15.75</v>
      </c>
      <c r="C113" s="935">
        <v>19.37</v>
      </c>
      <c r="D113" s="935">
        <v>14.24</v>
      </c>
      <c r="E113" s="935">
        <v>13.91</v>
      </c>
      <c r="F113" s="935">
        <v>14.06</v>
      </c>
      <c r="G113" s="935">
        <v>15.2</v>
      </c>
      <c r="H113" s="935">
        <v>16.21</v>
      </c>
      <c r="I113" s="935">
        <v>16.89</v>
      </c>
      <c r="J113" s="935">
        <v>17.36</v>
      </c>
      <c r="K113" s="935">
        <v>18.22</v>
      </c>
      <c r="L113" s="935">
        <v>18.88</v>
      </c>
      <c r="M113" s="935">
        <v>19.510000000000002</v>
      </c>
      <c r="N113" s="935">
        <v>19.920000000000002</v>
      </c>
      <c r="O113" s="935">
        <v>20.25</v>
      </c>
      <c r="P113" s="935">
        <v>20.399999999999999</v>
      </c>
      <c r="Q113" s="935">
        <v>20.58</v>
      </c>
      <c r="R113" s="935">
        <v>20.89</v>
      </c>
      <c r="S113" s="935">
        <v>21.07</v>
      </c>
      <c r="T113" s="935">
        <v>21.35</v>
      </c>
      <c r="U113" s="935">
        <v>21.6</v>
      </c>
      <c r="V113" s="935">
        <v>21.83</v>
      </c>
      <c r="W113" s="935">
        <v>22.14</v>
      </c>
      <c r="X113" s="935">
        <v>22.54</v>
      </c>
      <c r="Y113" s="935">
        <v>22.71</v>
      </c>
      <c r="Z113" s="935">
        <v>23.14</v>
      </c>
      <c r="AA113" s="935">
        <v>23.54</v>
      </c>
      <c r="AB113" s="935">
        <v>23.87</v>
      </c>
      <c r="AC113" s="935">
        <v>24.28</v>
      </c>
      <c r="AD113" s="935">
        <v>24.7</v>
      </c>
      <c r="AE113" s="974">
        <v>8.9999999999999993E-3</v>
      </c>
      <c r="AF113" s="935"/>
      <c r="AG113" s="935"/>
      <c r="AH113" s="935"/>
      <c r="AI113" s="935"/>
      <c r="AJ113" s="935"/>
      <c r="AK113" s="935"/>
      <c r="AL113" s="935"/>
      <c r="AM113" s="935"/>
      <c r="AN113" s="935"/>
      <c r="AO113" s="935"/>
      <c r="AP113" s="935"/>
      <c r="AQ113" s="935"/>
      <c r="AR113" s="935"/>
      <c r="AS113" s="935"/>
      <c r="AT113" s="935"/>
      <c r="AU113" s="935"/>
      <c r="AV113" s="935"/>
      <c r="AW113" s="935"/>
      <c r="AX113" s="935"/>
      <c r="AY113" s="935"/>
      <c r="AZ113" s="935"/>
      <c r="BA113" s="935"/>
      <c r="BB113" s="935"/>
      <c r="BC113" s="935"/>
      <c r="BD113" s="935"/>
      <c r="BE113" s="935"/>
      <c r="BF113" s="935"/>
      <c r="BG113" s="935"/>
      <c r="BH113" s="935"/>
      <c r="BI113" s="935"/>
      <c r="BJ113" s="935"/>
      <c r="BK113" s="935"/>
      <c r="BL113" s="935"/>
      <c r="BM113" s="935"/>
      <c r="BN113" s="935"/>
      <c r="BO113" s="935"/>
      <c r="BP113" s="935"/>
      <c r="BQ113" s="935"/>
      <c r="BR113" s="935"/>
      <c r="BS113" s="935"/>
      <c r="BT113" s="935"/>
    </row>
    <row r="114" spans="1:72" x14ac:dyDescent="0.25">
      <c r="A114" s="935" t="s">
        <v>611</v>
      </c>
      <c r="B114" s="935">
        <v>9.0399999999999991</v>
      </c>
      <c r="C114" s="935">
        <v>14.56</v>
      </c>
      <c r="D114" s="935">
        <v>8.7799999999999994</v>
      </c>
      <c r="E114" s="935">
        <v>12</v>
      </c>
      <c r="F114" s="935">
        <v>12.17</v>
      </c>
      <c r="G114" s="935">
        <v>13.34</v>
      </c>
      <c r="H114" s="935">
        <v>14.37</v>
      </c>
      <c r="I114" s="935">
        <v>15.11</v>
      </c>
      <c r="J114" s="935">
        <v>15.53</v>
      </c>
      <c r="K114" s="935">
        <v>15.93</v>
      </c>
      <c r="L114" s="935">
        <v>16.45</v>
      </c>
      <c r="M114" s="935">
        <v>16.89</v>
      </c>
      <c r="N114" s="935">
        <v>17.14</v>
      </c>
      <c r="O114" s="935">
        <v>17.22</v>
      </c>
      <c r="P114" s="935">
        <v>17.47</v>
      </c>
      <c r="Q114" s="935">
        <v>17.63</v>
      </c>
      <c r="R114" s="935">
        <v>17.850000000000001</v>
      </c>
      <c r="S114" s="935">
        <v>18.079999999999998</v>
      </c>
      <c r="T114" s="935">
        <v>18.3</v>
      </c>
      <c r="U114" s="935">
        <v>18.38</v>
      </c>
      <c r="V114" s="935">
        <v>18.68</v>
      </c>
      <c r="W114" s="935">
        <v>18.940000000000001</v>
      </c>
      <c r="X114" s="935">
        <v>19.23</v>
      </c>
      <c r="Y114" s="935">
        <v>19.55</v>
      </c>
      <c r="Z114" s="935">
        <v>19.899999999999999</v>
      </c>
      <c r="AA114" s="935">
        <v>20.190000000000001</v>
      </c>
      <c r="AB114" s="935">
        <v>20.43</v>
      </c>
      <c r="AC114" s="935">
        <v>20.77</v>
      </c>
      <c r="AD114" s="935">
        <v>21.12</v>
      </c>
      <c r="AE114" s="974">
        <v>1.4E-2</v>
      </c>
      <c r="AF114" s="935"/>
      <c r="AG114" s="935"/>
      <c r="AH114" s="935"/>
      <c r="AI114" s="935"/>
      <c r="AJ114" s="935"/>
      <c r="AK114" s="935"/>
      <c r="AL114" s="935"/>
      <c r="AM114" s="935"/>
      <c r="AN114" s="935"/>
      <c r="AO114" s="935"/>
      <c r="AP114" s="935"/>
      <c r="AQ114" s="935"/>
      <c r="AR114" s="935"/>
      <c r="AS114" s="935"/>
      <c r="AT114" s="935"/>
      <c r="AU114" s="935"/>
      <c r="AV114" s="935"/>
      <c r="AW114" s="935"/>
      <c r="AX114" s="935"/>
      <c r="AY114" s="935"/>
      <c r="AZ114" s="935"/>
      <c r="BA114" s="935"/>
      <c r="BB114" s="935"/>
      <c r="BC114" s="935"/>
      <c r="BD114" s="935"/>
      <c r="BE114" s="935"/>
      <c r="BF114" s="935"/>
      <c r="BG114" s="935"/>
      <c r="BH114" s="935"/>
      <c r="BI114" s="935"/>
      <c r="BJ114" s="935"/>
      <c r="BK114" s="935"/>
      <c r="BL114" s="935"/>
      <c r="BM114" s="935"/>
      <c r="BN114" s="935"/>
      <c r="BO114" s="935"/>
      <c r="BP114" s="935"/>
      <c r="BQ114" s="935"/>
      <c r="BR114" s="935"/>
      <c r="BS114" s="935"/>
      <c r="BT114" s="935"/>
    </row>
    <row r="115" spans="1:72" x14ac:dyDescent="0.25">
      <c r="A115" s="935" t="s">
        <v>510</v>
      </c>
      <c r="B115" s="935">
        <v>7.26</v>
      </c>
      <c r="C115" s="935">
        <v>9.09</v>
      </c>
      <c r="D115" s="935">
        <v>4.1399999999999997</v>
      </c>
      <c r="E115" s="935">
        <v>4.8499999999999996</v>
      </c>
      <c r="F115" s="935">
        <v>5.82</v>
      </c>
      <c r="G115" s="935">
        <v>6.17</v>
      </c>
      <c r="H115" s="935">
        <v>5.94</v>
      </c>
      <c r="I115" s="935">
        <v>5.9</v>
      </c>
      <c r="J115" s="935">
        <v>6.08</v>
      </c>
      <c r="K115" s="935">
        <v>6.16</v>
      </c>
      <c r="L115" s="935">
        <v>6.17</v>
      </c>
      <c r="M115" s="935">
        <v>6.22</v>
      </c>
      <c r="N115" s="935">
        <v>6.29</v>
      </c>
      <c r="O115" s="935">
        <v>6.42</v>
      </c>
      <c r="P115" s="935">
        <v>6.52</v>
      </c>
      <c r="Q115" s="935">
        <v>6.69</v>
      </c>
      <c r="R115" s="935">
        <v>6.74</v>
      </c>
      <c r="S115" s="935">
        <v>6.7</v>
      </c>
      <c r="T115" s="935">
        <v>6.75</v>
      </c>
      <c r="U115" s="935">
        <v>6.91</v>
      </c>
      <c r="V115" s="935">
        <v>7.05</v>
      </c>
      <c r="W115" s="935">
        <v>7.27</v>
      </c>
      <c r="X115" s="935">
        <v>7.51</v>
      </c>
      <c r="Y115" s="935">
        <v>7.73</v>
      </c>
      <c r="Z115" s="935">
        <v>8.02</v>
      </c>
      <c r="AA115" s="935">
        <v>8.14</v>
      </c>
      <c r="AB115" s="935">
        <v>8.17</v>
      </c>
      <c r="AC115" s="935">
        <v>8.35</v>
      </c>
      <c r="AD115" s="935">
        <v>8.4600000000000009</v>
      </c>
      <c r="AE115" s="974">
        <v>-3.0000000000000001E-3</v>
      </c>
      <c r="AF115" s="935"/>
      <c r="AG115" s="935"/>
      <c r="AH115" s="935"/>
      <c r="AI115" s="935"/>
      <c r="AJ115" s="935"/>
      <c r="AK115" s="935"/>
      <c r="AL115" s="935"/>
      <c r="AM115" s="935"/>
      <c r="AN115" s="935"/>
      <c r="AO115" s="935"/>
      <c r="AP115" s="935"/>
      <c r="AQ115" s="935"/>
      <c r="AR115" s="935"/>
      <c r="AS115" s="935"/>
      <c r="AT115" s="935"/>
      <c r="AU115" s="935"/>
      <c r="AV115" s="935"/>
      <c r="AW115" s="935"/>
      <c r="AX115" s="935"/>
      <c r="AY115" s="935"/>
      <c r="AZ115" s="935"/>
      <c r="BA115" s="935"/>
      <c r="BB115" s="935"/>
      <c r="BC115" s="935"/>
      <c r="BD115" s="935"/>
      <c r="BE115" s="935"/>
      <c r="BF115" s="935"/>
      <c r="BG115" s="935"/>
      <c r="BH115" s="935"/>
      <c r="BI115" s="935"/>
      <c r="BJ115" s="935"/>
      <c r="BK115" s="935"/>
      <c r="BL115" s="935"/>
      <c r="BM115" s="935"/>
      <c r="BN115" s="935"/>
      <c r="BO115" s="935"/>
      <c r="BP115" s="935"/>
      <c r="BQ115" s="935"/>
      <c r="BR115" s="935"/>
      <c r="BS115" s="935"/>
      <c r="BT115" s="935"/>
    </row>
    <row r="116" spans="1:72" x14ac:dyDescent="0.25">
      <c r="A116" s="935" t="s">
        <v>624</v>
      </c>
      <c r="B116" s="935">
        <v>1.8</v>
      </c>
      <c r="C116" s="935">
        <v>2.0499999999999998</v>
      </c>
      <c r="D116" s="935">
        <v>2.15</v>
      </c>
      <c r="E116" s="935">
        <v>1.99</v>
      </c>
      <c r="F116" s="935">
        <v>1.98</v>
      </c>
      <c r="G116" s="935">
        <v>1.99</v>
      </c>
      <c r="H116" s="935">
        <v>1.99</v>
      </c>
      <c r="I116" s="935">
        <v>1.99</v>
      </c>
      <c r="J116" s="935">
        <v>2.0099999999999998</v>
      </c>
      <c r="K116" s="935">
        <v>1.99</v>
      </c>
      <c r="L116" s="935">
        <v>2</v>
      </c>
      <c r="M116" s="935">
        <v>1.99</v>
      </c>
      <c r="N116" s="935">
        <v>1.99</v>
      </c>
      <c r="O116" s="935">
        <v>1.98</v>
      </c>
      <c r="P116" s="935">
        <v>1.98</v>
      </c>
      <c r="Q116" s="935">
        <v>1.99</v>
      </c>
      <c r="R116" s="935">
        <v>1.99</v>
      </c>
      <c r="S116" s="935">
        <v>1.99</v>
      </c>
      <c r="T116" s="935">
        <v>1.99</v>
      </c>
      <c r="U116" s="935">
        <v>2</v>
      </c>
      <c r="V116" s="935">
        <v>2</v>
      </c>
      <c r="W116" s="935">
        <v>2.0099999999999998</v>
      </c>
      <c r="X116" s="935">
        <v>2.02</v>
      </c>
      <c r="Y116" s="935">
        <v>2.0299999999999998</v>
      </c>
      <c r="Z116" s="935">
        <v>2.04</v>
      </c>
      <c r="AA116" s="935">
        <v>2.0499999999999998</v>
      </c>
      <c r="AB116" s="935">
        <v>2.06</v>
      </c>
      <c r="AC116" s="935">
        <v>2.0699999999999998</v>
      </c>
      <c r="AD116" s="935">
        <v>2.09</v>
      </c>
      <c r="AE116" s="974">
        <v>1E-3</v>
      </c>
      <c r="AF116" s="935"/>
      <c r="AG116" s="935"/>
      <c r="AH116" s="935"/>
      <c r="AI116" s="935"/>
      <c r="AJ116" s="935"/>
      <c r="AK116" s="935"/>
      <c r="AL116" s="935"/>
      <c r="AM116" s="935"/>
      <c r="AN116" s="935"/>
      <c r="AO116" s="935"/>
      <c r="AP116" s="935"/>
      <c r="AQ116" s="935"/>
      <c r="AR116" s="935"/>
      <c r="AS116" s="935"/>
      <c r="AT116" s="935"/>
      <c r="AU116" s="935"/>
      <c r="AV116" s="935"/>
      <c r="AW116" s="935"/>
      <c r="AX116" s="935"/>
      <c r="AY116" s="935"/>
      <c r="AZ116" s="935"/>
      <c r="BA116" s="935"/>
      <c r="BB116" s="935"/>
      <c r="BC116" s="935"/>
      <c r="BD116" s="935"/>
      <c r="BE116" s="935"/>
      <c r="BF116" s="935"/>
      <c r="BG116" s="935"/>
      <c r="BH116" s="935"/>
      <c r="BI116" s="935"/>
      <c r="BJ116" s="935"/>
      <c r="BK116" s="935"/>
      <c r="BL116" s="935"/>
      <c r="BM116" s="935"/>
      <c r="BN116" s="935"/>
      <c r="BO116" s="935"/>
      <c r="BP116" s="935"/>
      <c r="BQ116" s="935"/>
      <c r="BR116" s="935"/>
      <c r="BS116" s="935"/>
      <c r="BT116" s="935"/>
    </row>
    <row r="117" spans="1:72" x14ac:dyDescent="0.25">
      <c r="A117" s="935"/>
      <c r="B117" s="935"/>
      <c r="C117" s="935"/>
      <c r="D117" s="935"/>
      <c r="E117" s="935"/>
      <c r="F117" s="935"/>
      <c r="G117" s="935"/>
      <c r="H117" s="935"/>
      <c r="I117" s="935"/>
      <c r="J117" s="935"/>
      <c r="K117" s="935"/>
      <c r="L117" s="935"/>
      <c r="M117" s="935"/>
      <c r="N117" s="935"/>
      <c r="O117" s="935"/>
      <c r="P117" s="935"/>
      <c r="Q117" s="935"/>
      <c r="R117" s="935"/>
      <c r="S117" s="935"/>
      <c r="T117" s="935"/>
      <c r="U117" s="935"/>
      <c r="V117" s="935"/>
      <c r="W117" s="935"/>
      <c r="X117" s="935"/>
      <c r="Y117" s="935"/>
      <c r="Z117" s="935"/>
      <c r="AA117" s="935"/>
      <c r="AB117" s="935"/>
      <c r="AC117" s="935"/>
      <c r="AD117" s="935"/>
      <c r="AE117" s="935"/>
      <c r="AF117" s="935"/>
      <c r="AG117" s="935"/>
      <c r="AH117" s="935"/>
      <c r="AI117" s="935"/>
      <c r="AJ117" s="935"/>
      <c r="AK117" s="935"/>
      <c r="AL117" s="935"/>
      <c r="AM117" s="935"/>
      <c r="AN117" s="935"/>
      <c r="AO117" s="935"/>
      <c r="AP117" s="935"/>
      <c r="AQ117" s="935"/>
      <c r="AR117" s="935"/>
      <c r="AS117" s="935"/>
      <c r="AT117" s="935"/>
      <c r="AU117" s="935"/>
      <c r="AV117" s="935"/>
      <c r="AW117" s="935"/>
      <c r="AX117" s="935"/>
      <c r="AY117" s="935"/>
      <c r="AZ117" s="935"/>
      <c r="BA117" s="935"/>
      <c r="BB117" s="935"/>
      <c r="BC117" s="935"/>
      <c r="BD117" s="935"/>
      <c r="BE117" s="935"/>
      <c r="BF117" s="935"/>
      <c r="BG117" s="935"/>
      <c r="BH117" s="935"/>
      <c r="BI117" s="935"/>
      <c r="BJ117" s="935"/>
      <c r="BK117" s="935"/>
      <c r="BL117" s="935"/>
      <c r="BM117" s="935"/>
      <c r="BN117" s="935"/>
      <c r="BO117" s="935"/>
      <c r="BP117" s="935"/>
      <c r="BQ117" s="935"/>
      <c r="BR117" s="935"/>
      <c r="BS117" s="935"/>
      <c r="BT117" s="935"/>
    </row>
    <row r="118" spans="1:72" x14ac:dyDescent="0.25">
      <c r="A118" s="935" t="s">
        <v>625</v>
      </c>
      <c r="B118" s="935"/>
      <c r="C118" s="935"/>
      <c r="D118" s="935"/>
      <c r="E118" s="935"/>
      <c r="F118" s="935"/>
      <c r="G118" s="935"/>
      <c r="H118" s="935"/>
      <c r="I118" s="935"/>
      <c r="J118" s="935"/>
      <c r="K118" s="935"/>
      <c r="L118" s="935"/>
      <c r="M118" s="935"/>
      <c r="N118" s="935"/>
      <c r="O118" s="935"/>
      <c r="P118" s="935"/>
      <c r="Q118" s="935"/>
      <c r="R118" s="935"/>
      <c r="S118" s="935"/>
      <c r="T118" s="935"/>
      <c r="U118" s="935"/>
      <c r="V118" s="935"/>
      <c r="W118" s="935"/>
      <c r="X118" s="935"/>
      <c r="Y118" s="935"/>
      <c r="Z118" s="935"/>
      <c r="AA118" s="935"/>
      <c r="AB118" s="935"/>
      <c r="AC118" s="935"/>
      <c r="AD118" s="935"/>
      <c r="AE118" s="935"/>
      <c r="AF118" s="935"/>
      <c r="AG118" s="935"/>
      <c r="AH118" s="935"/>
      <c r="AI118" s="935"/>
      <c r="AJ118" s="935"/>
      <c r="AK118" s="935"/>
      <c r="AL118" s="935"/>
      <c r="AM118" s="935"/>
      <c r="AN118" s="935"/>
      <c r="AO118" s="935"/>
      <c r="AP118" s="935"/>
      <c r="AQ118" s="935"/>
      <c r="AR118" s="935"/>
      <c r="AS118" s="935"/>
      <c r="AT118" s="935"/>
      <c r="AU118" s="935"/>
      <c r="AV118" s="935"/>
      <c r="AW118" s="935"/>
      <c r="AX118" s="935"/>
      <c r="AY118" s="935"/>
      <c r="AZ118" s="935"/>
      <c r="BA118" s="935"/>
      <c r="BB118" s="935"/>
      <c r="BC118" s="935"/>
      <c r="BD118" s="935"/>
      <c r="BE118" s="935"/>
      <c r="BF118" s="935"/>
      <c r="BG118" s="935"/>
      <c r="BH118" s="935"/>
      <c r="BI118" s="935"/>
      <c r="BJ118" s="935"/>
      <c r="BK118" s="935"/>
      <c r="BL118" s="935"/>
      <c r="BM118" s="935"/>
      <c r="BN118" s="935"/>
      <c r="BO118" s="935"/>
      <c r="BP118" s="935"/>
      <c r="BQ118" s="935"/>
      <c r="BR118" s="935"/>
      <c r="BS118" s="935"/>
      <c r="BT118" s="935"/>
    </row>
    <row r="119" spans="1:72" x14ac:dyDescent="0.25">
      <c r="A119" s="935" t="s">
        <v>609</v>
      </c>
      <c r="B119" s="935">
        <v>18.940000000000001</v>
      </c>
      <c r="C119" s="935">
        <v>20.190000000000001</v>
      </c>
      <c r="D119" s="935">
        <v>18.36</v>
      </c>
      <c r="E119" s="935">
        <v>16.850000000000001</v>
      </c>
      <c r="F119" s="935">
        <v>16.87</v>
      </c>
      <c r="G119" s="935">
        <v>17.87</v>
      </c>
      <c r="H119" s="935">
        <v>18.97</v>
      </c>
      <c r="I119" s="935">
        <v>19.82</v>
      </c>
      <c r="J119" s="935">
        <v>20.3</v>
      </c>
      <c r="K119" s="935">
        <v>20.84</v>
      </c>
      <c r="L119" s="935">
        <v>21.26</v>
      </c>
      <c r="M119" s="935">
        <v>21.71</v>
      </c>
      <c r="N119" s="935">
        <v>21.93</v>
      </c>
      <c r="O119" s="935">
        <v>22.15</v>
      </c>
      <c r="P119" s="935">
        <v>22.36</v>
      </c>
      <c r="Q119" s="935">
        <v>22.56</v>
      </c>
      <c r="R119" s="935">
        <v>22.83</v>
      </c>
      <c r="S119" s="935">
        <v>23.09</v>
      </c>
      <c r="T119" s="935">
        <v>23.34</v>
      </c>
      <c r="U119" s="935">
        <v>23.49</v>
      </c>
      <c r="V119" s="935">
        <v>23.75</v>
      </c>
      <c r="W119" s="935">
        <v>24</v>
      </c>
      <c r="X119" s="935">
        <v>24.34</v>
      </c>
      <c r="Y119" s="935">
        <v>24.55</v>
      </c>
      <c r="Z119" s="935">
        <v>24.91</v>
      </c>
      <c r="AA119" s="935">
        <v>25.25</v>
      </c>
      <c r="AB119" s="935">
        <v>25.63</v>
      </c>
      <c r="AC119" s="935">
        <v>25.99</v>
      </c>
      <c r="AD119" s="935">
        <v>26.37</v>
      </c>
      <c r="AE119" s="974">
        <v>0.01</v>
      </c>
      <c r="AF119" s="935"/>
      <c r="AG119" s="935"/>
      <c r="AH119" s="935"/>
      <c r="AI119" s="935"/>
      <c r="AJ119" s="935"/>
      <c r="AK119" s="935"/>
      <c r="AL119" s="935"/>
      <c r="AM119" s="935"/>
      <c r="AN119" s="935"/>
      <c r="AO119" s="935"/>
      <c r="AP119" s="935"/>
      <c r="AQ119" s="935"/>
      <c r="AR119" s="935"/>
      <c r="AS119" s="935"/>
      <c r="AT119" s="935"/>
      <c r="AU119" s="935"/>
      <c r="AV119" s="935"/>
      <c r="AW119" s="935"/>
      <c r="AX119" s="935"/>
      <c r="AY119" s="935"/>
      <c r="AZ119" s="935"/>
      <c r="BA119" s="935"/>
      <c r="BB119" s="935"/>
      <c r="BC119" s="935"/>
      <c r="BD119" s="935"/>
      <c r="BE119" s="935"/>
      <c r="BF119" s="935"/>
      <c r="BG119" s="935"/>
      <c r="BH119" s="935"/>
      <c r="BI119" s="935"/>
      <c r="BJ119" s="935"/>
      <c r="BK119" s="935"/>
      <c r="BL119" s="935"/>
      <c r="BM119" s="935"/>
      <c r="BN119" s="935"/>
      <c r="BO119" s="935"/>
      <c r="BP119" s="935"/>
      <c r="BQ119" s="935"/>
      <c r="BR119" s="935"/>
      <c r="BS119" s="935"/>
      <c r="BT119" s="935"/>
    </row>
    <row r="120" spans="1:72" x14ac:dyDescent="0.25">
      <c r="A120" s="935" t="s">
        <v>618</v>
      </c>
      <c r="B120" s="935">
        <v>27.43</v>
      </c>
      <c r="C120" s="935">
        <v>26.93</v>
      </c>
      <c r="D120" s="935">
        <v>23.29</v>
      </c>
      <c r="E120" s="935">
        <v>20.64</v>
      </c>
      <c r="F120" s="935">
        <v>20.97</v>
      </c>
      <c r="G120" s="935">
        <v>22.13</v>
      </c>
      <c r="H120" s="935">
        <v>24.21</v>
      </c>
      <c r="I120" s="935">
        <v>25.23</v>
      </c>
      <c r="J120" s="935">
        <v>25.55</v>
      </c>
      <c r="K120" s="935">
        <v>25.08</v>
      </c>
      <c r="L120" s="935">
        <v>25.9</v>
      </c>
      <c r="M120" s="935">
        <v>26.54</v>
      </c>
      <c r="N120" s="935">
        <v>26.68</v>
      </c>
      <c r="O120" s="935">
        <v>26.95</v>
      </c>
      <c r="P120" s="935">
        <v>27.32</v>
      </c>
      <c r="Q120" s="935">
        <v>27.82</v>
      </c>
      <c r="R120" s="935">
        <v>28.31</v>
      </c>
      <c r="S120" s="935">
        <v>28.55</v>
      </c>
      <c r="T120" s="935">
        <v>28.86</v>
      </c>
      <c r="U120" s="935">
        <v>29.22</v>
      </c>
      <c r="V120" s="935">
        <v>29.49</v>
      </c>
      <c r="W120" s="935">
        <v>30.03</v>
      </c>
      <c r="X120" s="935">
        <v>30.44</v>
      </c>
      <c r="Y120" s="935">
        <v>30.64</v>
      </c>
      <c r="Z120" s="935">
        <v>30.86</v>
      </c>
      <c r="AA120" s="935">
        <v>31.29</v>
      </c>
      <c r="AB120" s="935">
        <v>31.49</v>
      </c>
      <c r="AC120" s="935">
        <v>31.77</v>
      </c>
      <c r="AD120" s="935">
        <v>32.229999999999997</v>
      </c>
      <c r="AE120" s="974">
        <v>7.0000000000000001E-3</v>
      </c>
      <c r="AF120" s="935"/>
      <c r="AG120" s="935"/>
      <c r="AH120" s="935"/>
      <c r="AI120" s="935"/>
      <c r="AJ120" s="935"/>
      <c r="AK120" s="935"/>
      <c r="AL120" s="935"/>
      <c r="AM120" s="935"/>
      <c r="AN120" s="935"/>
      <c r="AO120" s="935"/>
      <c r="AP120" s="935"/>
      <c r="AQ120" s="935"/>
      <c r="AR120" s="935"/>
      <c r="AS120" s="935"/>
      <c r="AT120" s="935"/>
      <c r="AU120" s="935"/>
      <c r="AV120" s="935"/>
      <c r="AW120" s="935"/>
      <c r="AX120" s="935"/>
      <c r="AY120" s="935"/>
      <c r="AZ120" s="935"/>
      <c r="BA120" s="935"/>
      <c r="BB120" s="935"/>
      <c r="BC120" s="935"/>
      <c r="BD120" s="935"/>
      <c r="BE120" s="935"/>
      <c r="BF120" s="935"/>
      <c r="BG120" s="935"/>
      <c r="BH120" s="935"/>
      <c r="BI120" s="935"/>
      <c r="BJ120" s="935"/>
      <c r="BK120" s="935"/>
      <c r="BL120" s="935"/>
      <c r="BM120" s="935"/>
      <c r="BN120" s="935"/>
      <c r="BO120" s="935"/>
      <c r="BP120" s="935"/>
      <c r="BQ120" s="935"/>
      <c r="BR120" s="935"/>
      <c r="BS120" s="935"/>
      <c r="BT120" s="935"/>
    </row>
    <row r="121" spans="1:72" x14ac:dyDescent="0.25">
      <c r="A121" s="935" t="s">
        <v>619</v>
      </c>
      <c r="B121" s="935">
        <v>23.55</v>
      </c>
      <c r="C121" s="935">
        <v>26.54</v>
      </c>
      <c r="D121" s="935">
        <v>19.149999999999999</v>
      </c>
      <c r="E121" s="935">
        <v>20.55</v>
      </c>
      <c r="F121" s="935">
        <v>20.88</v>
      </c>
      <c r="G121" s="935">
        <v>22.03</v>
      </c>
      <c r="H121" s="935">
        <v>24.01</v>
      </c>
      <c r="I121" s="935">
        <v>24.94</v>
      </c>
      <c r="J121" s="935">
        <v>25.36</v>
      </c>
      <c r="K121" s="935">
        <v>25.93</v>
      </c>
      <c r="L121" s="935">
        <v>26.46</v>
      </c>
      <c r="M121" s="935">
        <v>26.89</v>
      </c>
      <c r="N121" s="935">
        <v>27.2</v>
      </c>
      <c r="O121" s="935">
        <v>27.59</v>
      </c>
      <c r="P121" s="935">
        <v>27.82</v>
      </c>
      <c r="Q121" s="935">
        <v>28.17</v>
      </c>
      <c r="R121" s="935">
        <v>28.41</v>
      </c>
      <c r="S121" s="935">
        <v>28.54</v>
      </c>
      <c r="T121" s="935">
        <v>28.87</v>
      </c>
      <c r="U121" s="935">
        <v>29.18</v>
      </c>
      <c r="V121" s="935">
        <v>29.47</v>
      </c>
      <c r="W121" s="935">
        <v>29.9</v>
      </c>
      <c r="X121" s="935">
        <v>30.27</v>
      </c>
      <c r="Y121" s="935">
        <v>30.41</v>
      </c>
      <c r="Z121" s="935">
        <v>30.76</v>
      </c>
      <c r="AA121" s="935">
        <v>31.16</v>
      </c>
      <c r="AB121" s="935">
        <v>31.43</v>
      </c>
      <c r="AC121" s="935">
        <v>31.81</v>
      </c>
      <c r="AD121" s="935">
        <v>32.32</v>
      </c>
      <c r="AE121" s="974">
        <v>7.0000000000000001E-3</v>
      </c>
      <c r="AF121" s="935"/>
      <c r="AG121" s="935"/>
      <c r="AH121" s="935"/>
      <c r="AI121" s="935"/>
      <c r="AJ121" s="935"/>
      <c r="AK121" s="935"/>
      <c r="AL121" s="935"/>
      <c r="AM121" s="935"/>
      <c r="AN121" s="935"/>
      <c r="AO121" s="935"/>
      <c r="AP121" s="935"/>
      <c r="AQ121" s="935"/>
      <c r="AR121" s="935"/>
      <c r="AS121" s="935"/>
      <c r="AT121" s="935"/>
      <c r="AU121" s="935"/>
      <c r="AV121" s="935"/>
      <c r="AW121" s="935"/>
      <c r="AX121" s="935"/>
      <c r="AY121" s="935"/>
      <c r="AZ121" s="935"/>
      <c r="BA121" s="935"/>
      <c r="BB121" s="935"/>
      <c r="BC121" s="935"/>
      <c r="BD121" s="935"/>
      <c r="BE121" s="935"/>
      <c r="BF121" s="935"/>
      <c r="BG121" s="935"/>
      <c r="BH121" s="935"/>
      <c r="BI121" s="935"/>
      <c r="BJ121" s="935"/>
      <c r="BK121" s="935"/>
      <c r="BL121" s="935"/>
      <c r="BM121" s="935"/>
      <c r="BN121" s="935"/>
      <c r="BO121" s="935"/>
      <c r="BP121" s="935"/>
      <c r="BQ121" s="935"/>
      <c r="BR121" s="935"/>
      <c r="BS121" s="935"/>
      <c r="BT121" s="935"/>
    </row>
    <row r="122" spans="1:72" x14ac:dyDescent="0.25">
      <c r="A122" s="935" t="s">
        <v>626</v>
      </c>
      <c r="B122" s="935">
        <v>15.77</v>
      </c>
      <c r="C122" s="935">
        <v>22.71</v>
      </c>
      <c r="D122" s="935">
        <v>12.73</v>
      </c>
      <c r="E122" s="935">
        <v>14.79</v>
      </c>
      <c r="F122" s="935">
        <v>15.16</v>
      </c>
      <c r="G122" s="935">
        <v>16.54</v>
      </c>
      <c r="H122" s="935">
        <v>17.690000000000001</v>
      </c>
      <c r="I122" s="935">
        <v>18.46</v>
      </c>
      <c r="J122" s="935">
        <v>19.04</v>
      </c>
      <c r="K122" s="935">
        <v>19.760000000000002</v>
      </c>
      <c r="L122" s="935">
        <v>20.41</v>
      </c>
      <c r="M122" s="935">
        <v>20.97</v>
      </c>
      <c r="N122" s="935">
        <v>21.35</v>
      </c>
      <c r="O122" s="935">
        <v>21.69</v>
      </c>
      <c r="P122" s="935">
        <v>21.85</v>
      </c>
      <c r="Q122" s="935">
        <v>22.09</v>
      </c>
      <c r="R122" s="935">
        <v>22.41</v>
      </c>
      <c r="S122" s="935">
        <v>22.61</v>
      </c>
      <c r="T122" s="935">
        <v>22.92</v>
      </c>
      <c r="U122" s="935">
        <v>23.19</v>
      </c>
      <c r="V122" s="935">
        <v>23.48</v>
      </c>
      <c r="W122" s="935">
        <v>23.9</v>
      </c>
      <c r="X122" s="935">
        <v>24.26</v>
      </c>
      <c r="Y122" s="935">
        <v>24.51</v>
      </c>
      <c r="Z122" s="935">
        <v>24.9</v>
      </c>
      <c r="AA122" s="935">
        <v>25.3</v>
      </c>
      <c r="AB122" s="935">
        <v>25.64</v>
      </c>
      <c r="AC122" s="935">
        <v>26.05</v>
      </c>
      <c r="AD122" s="935">
        <v>26.48</v>
      </c>
      <c r="AE122" s="974">
        <v>6.0000000000000001E-3</v>
      </c>
      <c r="AF122" s="935"/>
      <c r="AG122" s="935"/>
      <c r="AH122" s="935"/>
      <c r="AI122" s="935"/>
      <c r="AJ122" s="935"/>
      <c r="AK122" s="935"/>
      <c r="AL122" s="935"/>
      <c r="AM122" s="935"/>
      <c r="AN122" s="935"/>
      <c r="AO122" s="935"/>
      <c r="AP122" s="935"/>
      <c r="AQ122" s="935"/>
      <c r="AR122" s="935"/>
      <c r="AS122" s="935"/>
      <c r="AT122" s="935"/>
      <c r="AU122" s="935"/>
      <c r="AV122" s="935"/>
      <c r="AW122" s="935"/>
      <c r="AX122" s="935"/>
      <c r="AY122" s="935"/>
      <c r="AZ122" s="935"/>
      <c r="BA122" s="935"/>
      <c r="BB122" s="935"/>
      <c r="BC122" s="935"/>
      <c r="BD122" s="935"/>
      <c r="BE122" s="935"/>
      <c r="BF122" s="935"/>
      <c r="BG122" s="935"/>
      <c r="BH122" s="935"/>
      <c r="BI122" s="935"/>
      <c r="BJ122" s="935"/>
      <c r="BK122" s="935"/>
      <c r="BL122" s="935"/>
      <c r="BM122" s="935"/>
      <c r="BN122" s="935"/>
      <c r="BO122" s="935"/>
      <c r="BP122" s="935"/>
      <c r="BQ122" s="935"/>
      <c r="BR122" s="935"/>
      <c r="BS122" s="935"/>
      <c r="BT122" s="935"/>
    </row>
    <row r="123" spans="1:72" x14ac:dyDescent="0.25">
      <c r="A123" s="935" t="s">
        <v>610</v>
      </c>
      <c r="B123" s="935">
        <v>20.71</v>
      </c>
      <c r="C123" s="935">
        <v>26.27</v>
      </c>
      <c r="D123" s="935">
        <v>17.46</v>
      </c>
      <c r="E123" s="935">
        <v>17.73</v>
      </c>
      <c r="F123" s="935">
        <v>18.149999999999999</v>
      </c>
      <c r="G123" s="935">
        <v>19.45</v>
      </c>
      <c r="H123" s="935">
        <v>20.62</v>
      </c>
      <c r="I123" s="935">
        <v>21.35</v>
      </c>
      <c r="J123" s="935">
        <v>22.03</v>
      </c>
      <c r="K123" s="935">
        <v>22.8</v>
      </c>
      <c r="L123" s="935">
        <v>23.45</v>
      </c>
      <c r="M123" s="935">
        <v>24.07</v>
      </c>
      <c r="N123" s="935">
        <v>24.47</v>
      </c>
      <c r="O123" s="935">
        <v>24.79</v>
      </c>
      <c r="P123" s="935">
        <v>24.99</v>
      </c>
      <c r="Q123" s="935">
        <v>25.32</v>
      </c>
      <c r="R123" s="935">
        <v>25.5</v>
      </c>
      <c r="S123" s="935">
        <v>25.59</v>
      </c>
      <c r="T123" s="935">
        <v>25.89</v>
      </c>
      <c r="U123" s="935">
        <v>26.12</v>
      </c>
      <c r="V123" s="935">
        <v>26.38</v>
      </c>
      <c r="W123" s="935">
        <v>26.71</v>
      </c>
      <c r="X123" s="935">
        <v>27.11</v>
      </c>
      <c r="Y123" s="935">
        <v>27.29</v>
      </c>
      <c r="Z123" s="935">
        <v>27.73</v>
      </c>
      <c r="AA123" s="935">
        <v>28.13</v>
      </c>
      <c r="AB123" s="935">
        <v>28.46</v>
      </c>
      <c r="AC123" s="935">
        <v>28.87</v>
      </c>
      <c r="AD123" s="935">
        <v>29.34</v>
      </c>
      <c r="AE123" s="974">
        <v>4.0000000000000001E-3</v>
      </c>
      <c r="AF123" s="935"/>
      <c r="AG123" s="935"/>
      <c r="AH123" s="935"/>
      <c r="AI123" s="935"/>
      <c r="AJ123" s="935"/>
      <c r="AK123" s="935"/>
      <c r="AL123" s="935"/>
      <c r="AM123" s="935"/>
      <c r="AN123" s="935"/>
      <c r="AO123" s="935"/>
      <c r="AP123" s="935"/>
      <c r="AQ123" s="935"/>
      <c r="AR123" s="935"/>
      <c r="AS123" s="935"/>
      <c r="AT123" s="935"/>
      <c r="AU123" s="935"/>
      <c r="AV123" s="935"/>
      <c r="AW123" s="935"/>
      <c r="AX123" s="935"/>
      <c r="AY123" s="935"/>
      <c r="AZ123" s="935"/>
      <c r="BA123" s="935"/>
      <c r="BB123" s="935"/>
      <c r="BC123" s="935"/>
      <c r="BD123" s="935"/>
      <c r="BE123" s="935"/>
      <c r="BF123" s="935"/>
      <c r="BG123" s="935"/>
      <c r="BH123" s="935"/>
      <c r="BI123" s="935"/>
      <c r="BJ123" s="935"/>
      <c r="BK123" s="935"/>
      <c r="BL123" s="935"/>
      <c r="BM123" s="935"/>
      <c r="BN123" s="935"/>
      <c r="BO123" s="935"/>
      <c r="BP123" s="935"/>
      <c r="BQ123" s="935"/>
      <c r="BR123" s="935"/>
      <c r="BS123" s="935"/>
      <c r="BT123" s="935"/>
    </row>
    <row r="124" spans="1:72" x14ac:dyDescent="0.25">
      <c r="A124" s="935" t="s">
        <v>611</v>
      </c>
      <c r="B124" s="935">
        <v>9.07</v>
      </c>
      <c r="C124" s="935">
        <v>14.77</v>
      </c>
      <c r="D124" s="935">
        <v>8.9600000000000009</v>
      </c>
      <c r="E124" s="935">
        <v>10.9</v>
      </c>
      <c r="F124" s="935">
        <v>11.01</v>
      </c>
      <c r="G124" s="935">
        <v>12.17</v>
      </c>
      <c r="H124" s="935">
        <v>13.13</v>
      </c>
      <c r="I124" s="935">
        <v>13.86</v>
      </c>
      <c r="J124" s="935">
        <v>14.26</v>
      </c>
      <c r="K124" s="935">
        <v>14.63</v>
      </c>
      <c r="L124" s="935">
        <v>15.14</v>
      </c>
      <c r="M124" s="935">
        <v>15.55</v>
      </c>
      <c r="N124" s="935">
        <v>15.76</v>
      </c>
      <c r="O124" s="935">
        <v>15.81</v>
      </c>
      <c r="P124" s="935">
        <v>16.05</v>
      </c>
      <c r="Q124" s="935">
        <v>16.190000000000001</v>
      </c>
      <c r="R124" s="935">
        <v>16.399999999999999</v>
      </c>
      <c r="S124" s="935">
        <v>16.600000000000001</v>
      </c>
      <c r="T124" s="935">
        <v>16.8</v>
      </c>
      <c r="U124" s="935">
        <v>16.850000000000001</v>
      </c>
      <c r="V124" s="935">
        <v>17.13</v>
      </c>
      <c r="W124" s="935">
        <v>17.37</v>
      </c>
      <c r="X124" s="935">
        <v>17.66</v>
      </c>
      <c r="Y124" s="935">
        <v>17.96</v>
      </c>
      <c r="Z124" s="935">
        <v>18.3</v>
      </c>
      <c r="AA124" s="935">
        <v>18.559999999999999</v>
      </c>
      <c r="AB124" s="935">
        <v>18.79</v>
      </c>
      <c r="AC124" s="935">
        <v>19.12</v>
      </c>
      <c r="AD124" s="935">
        <v>19.46</v>
      </c>
      <c r="AE124" s="974">
        <v>0.01</v>
      </c>
      <c r="AF124" s="935"/>
      <c r="AG124" s="935"/>
      <c r="AH124" s="935"/>
      <c r="AI124" s="935"/>
      <c r="AJ124" s="935"/>
      <c r="AK124" s="935"/>
      <c r="AL124" s="935"/>
      <c r="AM124" s="935"/>
      <c r="AN124" s="935"/>
      <c r="AO124" s="935"/>
      <c r="AP124" s="935"/>
      <c r="AQ124" s="935"/>
      <c r="AR124" s="935"/>
      <c r="AS124" s="935"/>
      <c r="AT124" s="935"/>
      <c r="AU124" s="935"/>
      <c r="AV124" s="935"/>
      <c r="AW124" s="935"/>
      <c r="AX124" s="935"/>
      <c r="AY124" s="935"/>
      <c r="AZ124" s="935"/>
      <c r="BA124" s="935"/>
      <c r="BB124" s="935"/>
      <c r="BC124" s="935"/>
      <c r="BD124" s="935"/>
      <c r="BE124" s="935"/>
      <c r="BF124" s="935"/>
      <c r="BG124" s="935"/>
      <c r="BH124" s="935"/>
      <c r="BI124" s="935"/>
      <c r="BJ124" s="935"/>
      <c r="BK124" s="935"/>
      <c r="BL124" s="935"/>
      <c r="BM124" s="935"/>
      <c r="BN124" s="935"/>
      <c r="BO124" s="935"/>
      <c r="BP124" s="935"/>
      <c r="BQ124" s="935"/>
      <c r="BR124" s="935"/>
      <c r="BS124" s="935"/>
      <c r="BT124" s="935"/>
    </row>
    <row r="125" spans="1:72" x14ac:dyDescent="0.25">
      <c r="A125" s="935" t="s">
        <v>510</v>
      </c>
      <c r="B125" s="935">
        <v>9.19</v>
      </c>
      <c r="C125" s="935">
        <v>10.53</v>
      </c>
      <c r="D125" s="935">
        <v>6.57</v>
      </c>
      <c r="E125" s="935">
        <v>6.87</v>
      </c>
      <c r="F125" s="935">
        <v>7.87</v>
      </c>
      <c r="G125" s="935">
        <v>8.1999999999999993</v>
      </c>
      <c r="H125" s="935">
        <v>8.0500000000000007</v>
      </c>
      <c r="I125" s="935">
        <v>8.02</v>
      </c>
      <c r="J125" s="935">
        <v>8.14</v>
      </c>
      <c r="K125" s="935">
        <v>8.2200000000000006</v>
      </c>
      <c r="L125" s="935">
        <v>8.2200000000000006</v>
      </c>
      <c r="M125" s="935">
        <v>8.27</v>
      </c>
      <c r="N125" s="935">
        <v>8.33</v>
      </c>
      <c r="O125" s="935">
        <v>8.44</v>
      </c>
      <c r="P125" s="935">
        <v>8.5500000000000007</v>
      </c>
      <c r="Q125" s="935">
        <v>8.73</v>
      </c>
      <c r="R125" s="935">
        <v>8.77</v>
      </c>
      <c r="S125" s="935">
        <v>8.68</v>
      </c>
      <c r="T125" s="935">
        <v>8.75</v>
      </c>
      <c r="U125" s="935">
        <v>8.89</v>
      </c>
      <c r="V125" s="935">
        <v>9.0399999999999991</v>
      </c>
      <c r="W125" s="935">
        <v>9.26</v>
      </c>
      <c r="X125" s="935">
        <v>9.49</v>
      </c>
      <c r="Y125" s="935">
        <v>9.74</v>
      </c>
      <c r="Z125" s="935">
        <v>10.050000000000001</v>
      </c>
      <c r="AA125" s="935">
        <v>10.17</v>
      </c>
      <c r="AB125" s="935">
        <v>10.210000000000001</v>
      </c>
      <c r="AC125" s="935">
        <v>10.4</v>
      </c>
      <c r="AD125" s="935">
        <v>10.54</v>
      </c>
      <c r="AE125" s="974">
        <v>0</v>
      </c>
      <c r="AF125" s="935"/>
      <c r="AG125" s="935"/>
      <c r="AH125" s="935"/>
      <c r="AI125" s="935"/>
      <c r="AJ125" s="935"/>
      <c r="AK125" s="935"/>
      <c r="AL125" s="935"/>
      <c r="AM125" s="935"/>
      <c r="AN125" s="935"/>
      <c r="AO125" s="935"/>
      <c r="AP125" s="935"/>
      <c r="AQ125" s="935"/>
      <c r="AR125" s="935"/>
      <c r="AS125" s="935"/>
      <c r="AT125" s="935"/>
      <c r="AU125" s="935"/>
      <c r="AV125" s="935"/>
      <c r="AW125" s="935"/>
      <c r="AX125" s="935"/>
      <c r="AY125" s="935"/>
      <c r="AZ125" s="935"/>
      <c r="BA125" s="935"/>
      <c r="BB125" s="935"/>
      <c r="BC125" s="935"/>
      <c r="BD125" s="935"/>
      <c r="BE125" s="935"/>
      <c r="BF125" s="935"/>
      <c r="BG125" s="935"/>
      <c r="BH125" s="935"/>
      <c r="BI125" s="935"/>
      <c r="BJ125" s="935"/>
      <c r="BK125" s="935"/>
      <c r="BL125" s="935"/>
      <c r="BM125" s="935"/>
      <c r="BN125" s="935"/>
      <c r="BO125" s="935"/>
      <c r="BP125" s="935"/>
      <c r="BQ125" s="935"/>
      <c r="BR125" s="935"/>
      <c r="BS125" s="935"/>
      <c r="BT125" s="935"/>
    </row>
    <row r="126" spans="1:72" x14ac:dyDescent="0.25">
      <c r="A126" s="935" t="s">
        <v>614</v>
      </c>
      <c r="B126" s="935">
        <v>3.69</v>
      </c>
      <c r="C126" s="935">
        <v>4.49</v>
      </c>
      <c r="D126" s="935">
        <v>4.72</v>
      </c>
      <c r="E126" s="935">
        <v>4.8</v>
      </c>
      <c r="F126" s="935">
        <v>4.8600000000000003</v>
      </c>
      <c r="G126" s="935">
        <v>5.0199999999999996</v>
      </c>
      <c r="H126" s="935">
        <v>5.05</v>
      </c>
      <c r="I126" s="935">
        <v>5.08</v>
      </c>
      <c r="J126" s="935">
        <v>5.08</v>
      </c>
      <c r="K126" s="935">
        <v>5.09</v>
      </c>
      <c r="L126" s="935">
        <v>5.16</v>
      </c>
      <c r="M126" s="935">
        <v>5.22</v>
      </c>
      <c r="N126" s="935">
        <v>5.29</v>
      </c>
      <c r="O126" s="935">
        <v>5.32</v>
      </c>
      <c r="P126" s="935">
        <v>5.35</v>
      </c>
      <c r="Q126" s="935">
        <v>5.36</v>
      </c>
      <c r="R126" s="935">
        <v>5.35</v>
      </c>
      <c r="S126" s="935">
        <v>5.32</v>
      </c>
      <c r="T126" s="935">
        <v>5.24</v>
      </c>
      <c r="U126" s="935">
        <v>5.16</v>
      </c>
      <c r="V126" s="935">
        <v>5.14</v>
      </c>
      <c r="W126" s="935">
        <v>5.14</v>
      </c>
      <c r="X126" s="935">
        <v>5.1100000000000003</v>
      </c>
      <c r="Y126" s="935">
        <v>5.1100000000000003</v>
      </c>
      <c r="Z126" s="935">
        <v>5.09</v>
      </c>
      <c r="AA126" s="935">
        <v>5.08</v>
      </c>
      <c r="AB126" s="935">
        <v>5.08</v>
      </c>
      <c r="AC126" s="935">
        <v>5.0599999999999996</v>
      </c>
      <c r="AD126" s="935">
        <v>5.0599999999999996</v>
      </c>
      <c r="AE126" s="974">
        <v>4.0000000000000001E-3</v>
      </c>
      <c r="AF126" s="935"/>
      <c r="AG126" s="935"/>
      <c r="AH126" s="935"/>
      <c r="AI126" s="935"/>
      <c r="AJ126" s="935"/>
      <c r="AK126" s="935"/>
      <c r="AL126" s="935"/>
      <c r="AM126" s="935"/>
      <c r="AN126" s="935"/>
      <c r="AO126" s="935"/>
      <c r="AP126" s="935"/>
      <c r="AQ126" s="935"/>
      <c r="AR126" s="935"/>
      <c r="AS126" s="935"/>
      <c r="AT126" s="935"/>
      <c r="AU126" s="935"/>
      <c r="AV126" s="935"/>
      <c r="AW126" s="935"/>
      <c r="AX126" s="935"/>
      <c r="AY126" s="935"/>
      <c r="AZ126" s="935"/>
      <c r="BA126" s="935"/>
      <c r="BB126" s="935"/>
      <c r="BC126" s="935"/>
      <c r="BD126" s="935"/>
      <c r="BE126" s="935"/>
      <c r="BF126" s="935"/>
      <c r="BG126" s="935"/>
      <c r="BH126" s="935"/>
      <c r="BI126" s="935"/>
      <c r="BJ126" s="935"/>
      <c r="BK126" s="935"/>
      <c r="BL126" s="935"/>
      <c r="BM126" s="935"/>
      <c r="BN126" s="935"/>
      <c r="BO126" s="935"/>
      <c r="BP126" s="935"/>
      <c r="BQ126" s="935"/>
      <c r="BR126" s="935"/>
      <c r="BS126" s="935"/>
      <c r="BT126" s="935"/>
    </row>
    <row r="127" spans="1:72" x14ac:dyDescent="0.25">
      <c r="A127" s="935" t="s">
        <v>627</v>
      </c>
      <c r="B127" s="935">
        <v>1.84</v>
      </c>
      <c r="C127" s="935">
        <v>2.1</v>
      </c>
      <c r="D127" s="935">
        <v>2.19</v>
      </c>
      <c r="E127" s="935">
        <v>2.0299999999999998</v>
      </c>
      <c r="F127" s="935">
        <v>2.02</v>
      </c>
      <c r="G127" s="935">
        <v>2.0299999999999998</v>
      </c>
      <c r="H127" s="935">
        <v>2.0299999999999998</v>
      </c>
      <c r="I127" s="935">
        <v>2.0299999999999998</v>
      </c>
      <c r="J127" s="935">
        <v>2.0499999999999998</v>
      </c>
      <c r="K127" s="935">
        <v>2.0299999999999998</v>
      </c>
      <c r="L127" s="935">
        <v>2.04</v>
      </c>
      <c r="M127" s="935">
        <v>2.0299999999999998</v>
      </c>
      <c r="N127" s="935">
        <v>2.02</v>
      </c>
      <c r="O127" s="935">
        <v>2.02</v>
      </c>
      <c r="P127" s="935">
        <v>2.02</v>
      </c>
      <c r="Q127" s="935">
        <v>2.0299999999999998</v>
      </c>
      <c r="R127" s="935">
        <v>2.02</v>
      </c>
      <c r="S127" s="935">
        <v>2.02</v>
      </c>
      <c r="T127" s="935">
        <v>2.02</v>
      </c>
      <c r="U127" s="935">
        <v>2.0299999999999998</v>
      </c>
      <c r="V127" s="935">
        <v>2.0299999999999998</v>
      </c>
      <c r="W127" s="935">
        <v>2.04</v>
      </c>
      <c r="X127" s="935">
        <v>2.0499999999999998</v>
      </c>
      <c r="Y127" s="935">
        <v>2.06</v>
      </c>
      <c r="Z127" s="935">
        <v>2.0699999999999998</v>
      </c>
      <c r="AA127" s="935">
        <v>2.08</v>
      </c>
      <c r="AB127" s="935">
        <v>2.09</v>
      </c>
      <c r="AC127" s="935">
        <v>2.1</v>
      </c>
      <c r="AD127" s="935">
        <v>2.12</v>
      </c>
      <c r="AE127" s="974">
        <v>0</v>
      </c>
      <c r="AF127" s="935"/>
      <c r="AG127" s="935"/>
      <c r="AH127" s="935"/>
      <c r="AI127" s="935"/>
      <c r="AJ127" s="935"/>
      <c r="AK127" s="935"/>
      <c r="AL127" s="935"/>
      <c r="AM127" s="935"/>
      <c r="AN127" s="935"/>
      <c r="AO127" s="935"/>
      <c r="AP127" s="935"/>
      <c r="AQ127" s="935"/>
      <c r="AR127" s="935"/>
      <c r="AS127" s="935"/>
      <c r="AT127" s="935"/>
      <c r="AU127" s="935"/>
      <c r="AV127" s="935"/>
      <c r="AW127" s="935"/>
      <c r="AX127" s="935"/>
      <c r="AY127" s="935"/>
      <c r="AZ127" s="935"/>
      <c r="BA127" s="935"/>
      <c r="BB127" s="935"/>
      <c r="BC127" s="935"/>
      <c r="BD127" s="935"/>
      <c r="BE127" s="935"/>
      <c r="BF127" s="935"/>
      <c r="BG127" s="935"/>
      <c r="BH127" s="935"/>
      <c r="BI127" s="935"/>
      <c r="BJ127" s="935"/>
      <c r="BK127" s="935"/>
      <c r="BL127" s="935"/>
      <c r="BM127" s="935"/>
      <c r="BN127" s="935"/>
      <c r="BO127" s="935"/>
      <c r="BP127" s="935"/>
      <c r="BQ127" s="935"/>
      <c r="BR127" s="935"/>
      <c r="BS127" s="935"/>
      <c r="BT127" s="935"/>
    </row>
    <row r="128" spans="1:72" x14ac:dyDescent="0.25">
      <c r="A128" s="935" t="s">
        <v>616</v>
      </c>
      <c r="B128" s="935" t="s">
        <v>788</v>
      </c>
      <c r="C128" s="935" t="s">
        <v>788</v>
      </c>
      <c r="D128" s="935" t="s">
        <v>788</v>
      </c>
      <c r="E128" s="935" t="s">
        <v>788</v>
      </c>
      <c r="F128" s="935">
        <v>1.26</v>
      </c>
      <c r="G128" s="935">
        <v>1.04</v>
      </c>
      <c r="H128" s="935">
        <v>1.04</v>
      </c>
      <c r="I128" s="935">
        <v>1.41</v>
      </c>
      <c r="J128" s="935">
        <v>1.42</v>
      </c>
      <c r="K128" s="935">
        <v>1.46</v>
      </c>
      <c r="L128" s="935">
        <v>1.48</v>
      </c>
      <c r="M128" s="935">
        <v>1.48</v>
      </c>
      <c r="N128" s="935">
        <v>1.47</v>
      </c>
      <c r="O128" s="935">
        <v>1.46</v>
      </c>
      <c r="P128" s="935">
        <v>1.49</v>
      </c>
      <c r="Q128" s="935">
        <v>1.5</v>
      </c>
      <c r="R128" s="935">
        <v>1.52</v>
      </c>
      <c r="S128" s="935">
        <v>1.49</v>
      </c>
      <c r="T128" s="935">
        <v>1.49</v>
      </c>
      <c r="U128" s="935">
        <v>1.47</v>
      </c>
      <c r="V128" s="935">
        <v>1.46</v>
      </c>
      <c r="W128" s="935">
        <v>1.45</v>
      </c>
      <c r="X128" s="935">
        <v>1.44</v>
      </c>
      <c r="Y128" s="935">
        <v>1.44</v>
      </c>
      <c r="Z128" s="935">
        <v>1.44</v>
      </c>
      <c r="AA128" s="935">
        <v>1.44</v>
      </c>
      <c r="AB128" s="935">
        <v>1.46</v>
      </c>
      <c r="AC128" s="935">
        <v>1.48</v>
      </c>
      <c r="AD128" s="935">
        <v>1.51</v>
      </c>
      <c r="AE128" s="935" t="s">
        <v>788</v>
      </c>
      <c r="AF128" s="935"/>
      <c r="AG128" s="935"/>
      <c r="AH128" s="935"/>
      <c r="AI128" s="935"/>
      <c r="AJ128" s="935"/>
      <c r="AK128" s="935"/>
      <c r="AL128" s="935"/>
      <c r="AM128" s="935"/>
      <c r="AN128" s="935"/>
      <c r="AO128" s="935"/>
      <c r="AP128" s="935"/>
      <c r="AQ128" s="935"/>
      <c r="AR128" s="935"/>
      <c r="AS128" s="935"/>
      <c r="AT128" s="935"/>
      <c r="AU128" s="935"/>
      <c r="AV128" s="935"/>
      <c r="AW128" s="935"/>
      <c r="AX128" s="935"/>
      <c r="AY128" s="935"/>
      <c r="AZ128" s="935"/>
      <c r="BA128" s="935"/>
      <c r="BB128" s="935"/>
      <c r="BC128" s="935"/>
      <c r="BD128" s="935"/>
      <c r="BE128" s="935"/>
      <c r="BF128" s="935"/>
      <c r="BG128" s="935"/>
      <c r="BH128" s="935"/>
      <c r="BI128" s="935"/>
      <c r="BJ128" s="935"/>
      <c r="BK128" s="935"/>
      <c r="BL128" s="935"/>
      <c r="BM128" s="935"/>
      <c r="BN128" s="935"/>
      <c r="BO128" s="935"/>
      <c r="BP128" s="935"/>
      <c r="BQ128" s="935"/>
      <c r="BR128" s="935"/>
      <c r="BS128" s="935"/>
      <c r="BT128" s="935"/>
    </row>
    <row r="129" spans="1:72" x14ac:dyDescent="0.25">
      <c r="A129" s="935" t="s">
        <v>479</v>
      </c>
      <c r="B129" s="935">
        <v>27.25</v>
      </c>
      <c r="C129" s="935">
        <v>28.81</v>
      </c>
      <c r="D129" s="935">
        <v>28.07</v>
      </c>
      <c r="E129" s="935">
        <v>26.77</v>
      </c>
      <c r="F129" s="935">
        <v>25.2</v>
      </c>
      <c r="G129" s="935">
        <v>26.1</v>
      </c>
      <c r="H129" s="935">
        <v>26.17</v>
      </c>
      <c r="I129" s="935">
        <v>25.97</v>
      </c>
      <c r="J129" s="935">
        <v>25.95</v>
      </c>
      <c r="K129" s="935">
        <v>26.2</v>
      </c>
      <c r="L129" s="935">
        <v>26.36</v>
      </c>
      <c r="M129" s="935">
        <v>26.37</v>
      </c>
      <c r="N129" s="935">
        <v>26.31</v>
      </c>
      <c r="O129" s="935">
        <v>26.51</v>
      </c>
      <c r="P129" s="935">
        <v>26.7</v>
      </c>
      <c r="Q129" s="935">
        <v>26.84</v>
      </c>
      <c r="R129" s="935">
        <v>27.04</v>
      </c>
      <c r="S129" s="935">
        <v>27.19</v>
      </c>
      <c r="T129" s="935">
        <v>27.17</v>
      </c>
      <c r="U129" s="935">
        <v>27.33</v>
      </c>
      <c r="V129" s="935">
        <v>27.53</v>
      </c>
      <c r="W129" s="935">
        <v>27.74</v>
      </c>
      <c r="X129" s="935">
        <v>28.16</v>
      </c>
      <c r="Y129" s="935">
        <v>28.49</v>
      </c>
      <c r="Z129" s="935">
        <v>28.86</v>
      </c>
      <c r="AA129" s="935">
        <v>29.21</v>
      </c>
      <c r="AB129" s="935">
        <v>29.38</v>
      </c>
      <c r="AC129" s="935">
        <v>29.64</v>
      </c>
      <c r="AD129" s="935">
        <v>29.87</v>
      </c>
      <c r="AE129" s="974">
        <v>1E-3</v>
      </c>
      <c r="AF129" s="935"/>
      <c r="AG129" s="935"/>
      <c r="AH129" s="935"/>
      <c r="AI129" s="935"/>
      <c r="AJ129" s="935"/>
      <c r="AK129" s="935"/>
      <c r="AL129" s="935"/>
      <c r="AM129" s="935"/>
      <c r="AN129" s="935"/>
      <c r="AO129" s="935"/>
      <c r="AP129" s="935"/>
      <c r="AQ129" s="935"/>
      <c r="AR129" s="935"/>
      <c r="AS129" s="935"/>
      <c r="AT129" s="935"/>
      <c r="AU129" s="935"/>
      <c r="AV129" s="935"/>
      <c r="AW129" s="935"/>
      <c r="AX129" s="935"/>
      <c r="AY129" s="935"/>
      <c r="AZ129" s="935"/>
      <c r="BA129" s="935"/>
      <c r="BB129" s="935"/>
      <c r="BC129" s="935"/>
      <c r="BD129" s="935"/>
      <c r="BE129" s="935"/>
      <c r="BF129" s="935"/>
      <c r="BG129" s="935"/>
      <c r="BH129" s="935"/>
      <c r="BI129" s="935"/>
      <c r="BJ129" s="935"/>
      <c r="BK129" s="935"/>
      <c r="BL129" s="935"/>
      <c r="BM129" s="935"/>
      <c r="BN129" s="935"/>
      <c r="BO129" s="935"/>
      <c r="BP129" s="935"/>
      <c r="BQ129" s="935"/>
      <c r="BR129" s="935"/>
      <c r="BS129" s="935"/>
      <c r="BT129" s="935"/>
    </row>
    <row r="130" spans="1:72" x14ac:dyDescent="0.25">
      <c r="A130" s="935"/>
      <c r="B130" s="935"/>
      <c r="C130" s="935"/>
      <c r="D130" s="935"/>
      <c r="E130" s="935"/>
      <c r="F130" s="935"/>
      <c r="G130" s="935"/>
      <c r="H130" s="935"/>
      <c r="I130" s="935"/>
      <c r="J130" s="935"/>
      <c r="K130" s="935"/>
      <c r="L130" s="935"/>
      <c r="M130" s="935"/>
      <c r="N130" s="935"/>
      <c r="O130" s="935"/>
      <c r="P130" s="935"/>
      <c r="Q130" s="935"/>
      <c r="R130" s="935"/>
      <c r="S130" s="935"/>
      <c r="T130" s="935"/>
      <c r="U130" s="935"/>
      <c r="V130" s="935"/>
      <c r="W130" s="935"/>
      <c r="X130" s="935"/>
      <c r="Y130" s="935"/>
      <c r="Z130" s="935"/>
      <c r="AA130" s="935"/>
      <c r="AB130" s="935"/>
      <c r="AC130" s="935"/>
      <c r="AD130" s="935"/>
      <c r="AE130" s="935"/>
      <c r="AF130" s="935"/>
      <c r="AG130" s="935"/>
      <c r="AH130" s="935"/>
      <c r="AI130" s="935"/>
      <c r="AJ130" s="935"/>
      <c r="AK130" s="935"/>
      <c r="AL130" s="935"/>
      <c r="AM130" s="935"/>
      <c r="AN130" s="935"/>
      <c r="AO130" s="935"/>
      <c r="AP130" s="935"/>
      <c r="AQ130" s="935"/>
      <c r="AR130" s="935"/>
      <c r="AS130" s="935"/>
      <c r="AT130" s="935"/>
      <c r="AU130" s="935"/>
      <c r="AV130" s="935"/>
      <c r="AW130" s="935"/>
      <c r="AX130" s="935"/>
      <c r="AY130" s="935"/>
      <c r="AZ130" s="935"/>
      <c r="BA130" s="935"/>
      <c r="BB130" s="935"/>
      <c r="BC130" s="935"/>
      <c r="BD130" s="935"/>
      <c r="BE130" s="935"/>
      <c r="BF130" s="935"/>
      <c r="BG130" s="935"/>
      <c r="BH130" s="935"/>
      <c r="BI130" s="935"/>
      <c r="BJ130" s="935"/>
      <c r="BK130" s="935"/>
      <c r="BL130" s="935"/>
      <c r="BM130" s="935"/>
      <c r="BN130" s="935"/>
      <c r="BO130" s="935"/>
      <c r="BP130" s="935"/>
      <c r="BQ130" s="935"/>
      <c r="BR130" s="935"/>
      <c r="BS130" s="935"/>
      <c r="BT130" s="935"/>
    </row>
    <row r="131" spans="1:72" x14ac:dyDescent="0.25">
      <c r="A131" s="935" t="s">
        <v>513</v>
      </c>
      <c r="B131" s="935"/>
      <c r="C131" s="935"/>
      <c r="D131" s="935"/>
      <c r="E131" s="935"/>
      <c r="F131" s="935"/>
      <c r="G131" s="935"/>
      <c r="H131" s="935"/>
      <c r="I131" s="935"/>
      <c r="J131" s="935"/>
      <c r="K131" s="935"/>
      <c r="L131" s="935"/>
      <c r="M131" s="935"/>
      <c r="N131" s="935"/>
      <c r="O131" s="935"/>
      <c r="P131" s="935"/>
      <c r="Q131" s="935"/>
      <c r="R131" s="935"/>
      <c r="S131" s="935"/>
      <c r="T131" s="935"/>
      <c r="U131" s="935"/>
      <c r="V131" s="935"/>
      <c r="W131" s="935"/>
      <c r="X131" s="935"/>
      <c r="Y131" s="935"/>
      <c r="Z131" s="935"/>
      <c r="AA131" s="935"/>
      <c r="AB131" s="935"/>
      <c r="AC131" s="935"/>
      <c r="AD131" s="935"/>
      <c r="AE131" s="935"/>
      <c r="AF131" s="935"/>
      <c r="AG131" s="935"/>
      <c r="AH131" s="935"/>
      <c r="AI131" s="935"/>
      <c r="AJ131" s="935"/>
      <c r="AK131" s="935"/>
      <c r="AL131" s="935"/>
      <c r="AM131" s="935"/>
      <c r="AN131" s="935"/>
      <c r="AO131" s="935"/>
      <c r="AP131" s="935"/>
      <c r="AQ131" s="935"/>
      <c r="AR131" s="935"/>
      <c r="AS131" s="935"/>
      <c r="AT131" s="935"/>
      <c r="AU131" s="935"/>
      <c r="AV131" s="935"/>
      <c r="AW131" s="935"/>
      <c r="AX131" s="935"/>
      <c r="AY131" s="935"/>
      <c r="AZ131" s="935"/>
      <c r="BA131" s="935"/>
      <c r="BB131" s="935"/>
      <c r="BC131" s="935"/>
      <c r="BD131" s="935"/>
      <c r="BE131" s="935"/>
      <c r="BF131" s="935"/>
      <c r="BG131" s="935"/>
      <c r="BH131" s="935"/>
      <c r="BI131" s="935"/>
      <c r="BJ131" s="935"/>
      <c r="BK131" s="935"/>
      <c r="BL131" s="935"/>
      <c r="BM131" s="935"/>
      <c r="BN131" s="935"/>
      <c r="BO131" s="935"/>
      <c r="BP131" s="935"/>
      <c r="BQ131" s="935"/>
      <c r="BR131" s="935"/>
      <c r="BS131" s="935"/>
      <c r="BT131" s="935"/>
    </row>
    <row r="132" spans="1:72" x14ac:dyDescent="0.25">
      <c r="A132" s="935" t="s">
        <v>789</v>
      </c>
      <c r="B132" s="935"/>
      <c r="C132" s="935"/>
      <c r="D132" s="935"/>
      <c r="E132" s="935"/>
      <c r="F132" s="935"/>
      <c r="G132" s="935"/>
      <c r="H132" s="935"/>
      <c r="I132" s="935"/>
      <c r="J132" s="935"/>
      <c r="K132" s="935"/>
      <c r="L132" s="935"/>
      <c r="M132" s="935"/>
      <c r="N132" s="935"/>
      <c r="O132" s="935"/>
      <c r="P132" s="935"/>
      <c r="Q132" s="935"/>
      <c r="R132" s="935"/>
      <c r="S132" s="935"/>
      <c r="T132" s="935"/>
      <c r="U132" s="935"/>
      <c r="V132" s="935"/>
      <c r="W132" s="935"/>
      <c r="X132" s="935"/>
      <c r="Y132" s="935"/>
      <c r="Z132" s="935"/>
      <c r="AA132" s="935"/>
      <c r="AB132" s="935"/>
      <c r="AC132" s="935"/>
      <c r="AD132" s="935"/>
      <c r="AE132" s="935"/>
      <c r="AF132" s="935"/>
      <c r="AG132" s="935"/>
      <c r="AH132" s="935"/>
      <c r="AI132" s="935"/>
      <c r="AJ132" s="935"/>
      <c r="AK132" s="935"/>
      <c r="AL132" s="935"/>
      <c r="AM132" s="935"/>
      <c r="AN132" s="935"/>
      <c r="AO132" s="935"/>
      <c r="AP132" s="935"/>
      <c r="AQ132" s="935"/>
      <c r="AR132" s="935"/>
      <c r="AS132" s="935"/>
      <c r="AT132" s="935"/>
      <c r="AU132" s="935"/>
      <c r="AV132" s="935"/>
      <c r="AW132" s="935"/>
      <c r="AX132" s="935"/>
      <c r="AY132" s="935"/>
      <c r="AZ132" s="935"/>
      <c r="BA132" s="935"/>
      <c r="BB132" s="935"/>
      <c r="BC132" s="935"/>
      <c r="BD132" s="935"/>
      <c r="BE132" s="935"/>
      <c r="BF132" s="935"/>
      <c r="BG132" s="935"/>
      <c r="BH132" s="935"/>
      <c r="BI132" s="935"/>
      <c r="BJ132" s="935"/>
      <c r="BK132" s="935"/>
      <c r="BL132" s="935"/>
      <c r="BM132" s="935"/>
      <c r="BN132" s="935"/>
      <c r="BO132" s="935"/>
      <c r="BP132" s="935"/>
      <c r="BQ132" s="935"/>
      <c r="BR132" s="935"/>
      <c r="BS132" s="935"/>
      <c r="BT132" s="935"/>
    </row>
    <row r="133" spans="1:72" x14ac:dyDescent="0.25">
      <c r="A133" s="935" t="s">
        <v>473</v>
      </c>
      <c r="B133" s="935">
        <v>241.67</v>
      </c>
      <c r="C133" s="935">
        <v>254.66</v>
      </c>
      <c r="D133" s="935">
        <v>231.65</v>
      </c>
      <c r="E133" s="935">
        <v>223.76</v>
      </c>
      <c r="F133" s="935">
        <v>222.61</v>
      </c>
      <c r="G133" s="935">
        <v>230.62</v>
      </c>
      <c r="H133" s="935">
        <v>228.9</v>
      </c>
      <c r="I133" s="935">
        <v>229.4</v>
      </c>
      <c r="J133" s="935">
        <v>230.89</v>
      </c>
      <c r="K133" s="935">
        <v>234.53</v>
      </c>
      <c r="L133" s="935">
        <v>236.76</v>
      </c>
      <c r="M133" s="935">
        <v>239.14</v>
      </c>
      <c r="N133" s="935">
        <v>241.36</v>
      </c>
      <c r="O133" s="935">
        <v>245.14</v>
      </c>
      <c r="P133" s="935">
        <v>247.96</v>
      </c>
      <c r="Q133" s="935">
        <v>251.14</v>
      </c>
      <c r="R133" s="935">
        <v>253.92</v>
      </c>
      <c r="S133" s="935">
        <v>256.67</v>
      </c>
      <c r="T133" s="935">
        <v>258.7</v>
      </c>
      <c r="U133" s="935">
        <v>262.54000000000002</v>
      </c>
      <c r="V133" s="935">
        <v>266.58999999999997</v>
      </c>
      <c r="W133" s="935">
        <v>271.26</v>
      </c>
      <c r="X133" s="935">
        <v>275.8</v>
      </c>
      <c r="Y133" s="935">
        <v>280.39999999999998</v>
      </c>
      <c r="Z133" s="935">
        <v>285.83</v>
      </c>
      <c r="AA133" s="935">
        <v>290.58999999999997</v>
      </c>
      <c r="AB133" s="935">
        <v>292.89999999999998</v>
      </c>
      <c r="AC133" s="935">
        <v>297.16000000000003</v>
      </c>
      <c r="AD133" s="935">
        <v>301.11</v>
      </c>
      <c r="AE133" s="974">
        <v>6.0000000000000001E-3</v>
      </c>
      <c r="AF133" s="935"/>
      <c r="AG133" s="935"/>
      <c r="AH133" s="935"/>
      <c r="AI133" s="935"/>
      <c r="AJ133" s="935"/>
      <c r="AK133" s="935"/>
      <c r="AL133" s="935"/>
      <c r="AM133" s="935"/>
      <c r="AN133" s="935"/>
      <c r="AO133" s="935"/>
      <c r="AP133" s="935"/>
      <c r="AQ133" s="935"/>
      <c r="AR133" s="935"/>
      <c r="AS133" s="935"/>
      <c r="AT133" s="935"/>
      <c r="AU133" s="935"/>
      <c r="AV133" s="935"/>
      <c r="AW133" s="935"/>
      <c r="AX133" s="935"/>
      <c r="AY133" s="935"/>
      <c r="AZ133" s="935"/>
      <c r="BA133" s="935"/>
      <c r="BB133" s="935"/>
      <c r="BC133" s="935"/>
      <c r="BD133" s="935"/>
      <c r="BE133" s="935"/>
      <c r="BF133" s="935"/>
      <c r="BG133" s="935"/>
      <c r="BH133" s="935"/>
      <c r="BI133" s="935"/>
      <c r="BJ133" s="935"/>
      <c r="BK133" s="935"/>
      <c r="BL133" s="935"/>
      <c r="BM133" s="935"/>
      <c r="BN133" s="935"/>
      <c r="BO133" s="935"/>
      <c r="BP133" s="935"/>
      <c r="BQ133" s="935"/>
      <c r="BR133" s="935"/>
      <c r="BS133" s="935"/>
      <c r="BT133" s="935"/>
    </row>
    <row r="134" spans="1:72" x14ac:dyDescent="0.25">
      <c r="A134" s="935" t="s">
        <v>480</v>
      </c>
      <c r="B134" s="935">
        <v>176.61</v>
      </c>
      <c r="C134" s="935">
        <v>191.19</v>
      </c>
      <c r="D134" s="935">
        <v>168.7</v>
      </c>
      <c r="E134" s="935">
        <v>163.43</v>
      </c>
      <c r="F134" s="935">
        <v>163.69</v>
      </c>
      <c r="G134" s="935">
        <v>172.64</v>
      </c>
      <c r="H134" s="935">
        <v>173.85</v>
      </c>
      <c r="I134" s="935">
        <v>174.18</v>
      </c>
      <c r="J134" s="935">
        <v>176.9</v>
      </c>
      <c r="K134" s="935">
        <v>180.82</v>
      </c>
      <c r="L134" s="935">
        <v>184.11</v>
      </c>
      <c r="M134" s="935">
        <v>186.86</v>
      </c>
      <c r="N134" s="935">
        <v>189.36</v>
      </c>
      <c r="O134" s="935">
        <v>193.15</v>
      </c>
      <c r="P134" s="935">
        <v>196.83</v>
      </c>
      <c r="Q134" s="935">
        <v>200.4</v>
      </c>
      <c r="R134" s="935">
        <v>204.1</v>
      </c>
      <c r="S134" s="935">
        <v>207.27</v>
      </c>
      <c r="T134" s="935">
        <v>210.07</v>
      </c>
      <c r="U134" s="935">
        <v>214.23</v>
      </c>
      <c r="V134" s="935">
        <v>218.63</v>
      </c>
      <c r="W134" s="935">
        <v>223.34</v>
      </c>
      <c r="X134" s="935">
        <v>229.36</v>
      </c>
      <c r="Y134" s="935">
        <v>234.79</v>
      </c>
      <c r="Z134" s="935">
        <v>240.94</v>
      </c>
      <c r="AA134" s="935">
        <v>246.37</v>
      </c>
      <c r="AB134" s="935">
        <v>250.61</v>
      </c>
      <c r="AC134" s="935">
        <v>256.01</v>
      </c>
      <c r="AD134" s="935">
        <v>261.07</v>
      </c>
      <c r="AE134" s="974">
        <v>1.2E-2</v>
      </c>
      <c r="AF134" s="935"/>
      <c r="AG134" s="935"/>
      <c r="AH134" s="935"/>
      <c r="AI134" s="935"/>
      <c r="AJ134" s="935"/>
      <c r="AK134" s="935"/>
      <c r="AL134" s="935"/>
      <c r="AM134" s="935"/>
      <c r="AN134" s="935"/>
      <c r="AO134" s="935"/>
      <c r="AP134" s="935"/>
      <c r="AQ134" s="935"/>
      <c r="AR134" s="935"/>
      <c r="AS134" s="935"/>
      <c r="AT134" s="935"/>
      <c r="AU134" s="935"/>
      <c r="AV134" s="935"/>
      <c r="AW134" s="935"/>
      <c r="AX134" s="935"/>
      <c r="AY134" s="935"/>
      <c r="AZ134" s="935"/>
      <c r="BA134" s="935"/>
      <c r="BB134" s="935"/>
      <c r="BC134" s="935"/>
      <c r="BD134" s="935"/>
      <c r="BE134" s="935"/>
      <c r="BF134" s="935"/>
      <c r="BG134" s="935"/>
      <c r="BH134" s="935"/>
      <c r="BI134" s="935"/>
      <c r="BJ134" s="935"/>
      <c r="BK134" s="935"/>
      <c r="BL134" s="935"/>
      <c r="BM134" s="935"/>
      <c r="BN134" s="935"/>
      <c r="BO134" s="935"/>
      <c r="BP134" s="935"/>
      <c r="BQ134" s="935"/>
      <c r="BR134" s="935"/>
      <c r="BS134" s="935"/>
      <c r="BT134" s="935"/>
    </row>
    <row r="135" spans="1:72" x14ac:dyDescent="0.25">
      <c r="A135" s="935" t="s">
        <v>515</v>
      </c>
      <c r="B135" s="935">
        <v>219.69</v>
      </c>
      <c r="C135" s="935">
        <v>244.81</v>
      </c>
      <c r="D135" s="935">
        <v>175.42</v>
      </c>
      <c r="E135" s="935">
        <v>163.24</v>
      </c>
      <c r="F135" s="935">
        <v>173.51</v>
      </c>
      <c r="G135" s="935">
        <v>191.66</v>
      </c>
      <c r="H135" s="935">
        <v>201.52</v>
      </c>
      <c r="I135" s="935">
        <v>207.49</v>
      </c>
      <c r="J135" s="935">
        <v>213.14</v>
      </c>
      <c r="K135" s="935">
        <v>218.86</v>
      </c>
      <c r="L135" s="935">
        <v>223.15</v>
      </c>
      <c r="M135" s="935">
        <v>228.05</v>
      </c>
      <c r="N135" s="935">
        <v>231.33</v>
      </c>
      <c r="O135" s="935">
        <v>234.86</v>
      </c>
      <c r="P135" s="935">
        <v>236.42</v>
      </c>
      <c r="Q135" s="935">
        <v>237.67</v>
      </c>
      <c r="R135" s="935">
        <v>239.07</v>
      </c>
      <c r="S135" s="935">
        <v>240.3</v>
      </c>
      <c r="T135" s="935">
        <v>241.75</v>
      </c>
      <c r="U135" s="935">
        <v>242.96</v>
      </c>
      <c r="V135" s="935">
        <v>245.17</v>
      </c>
      <c r="W135" s="935">
        <v>247.67</v>
      </c>
      <c r="X135" s="935">
        <v>250.95</v>
      </c>
      <c r="Y135" s="935">
        <v>253.51</v>
      </c>
      <c r="Z135" s="935">
        <v>257.7</v>
      </c>
      <c r="AA135" s="935">
        <v>259.55</v>
      </c>
      <c r="AB135" s="935">
        <v>261.58</v>
      </c>
      <c r="AC135" s="935">
        <v>265.05</v>
      </c>
      <c r="AD135" s="935">
        <v>267.18</v>
      </c>
      <c r="AE135" s="974">
        <v>3.0000000000000001E-3</v>
      </c>
      <c r="AF135" s="935"/>
      <c r="AG135" s="935"/>
      <c r="AH135" s="935"/>
      <c r="AI135" s="935"/>
      <c r="AJ135" s="935"/>
      <c r="AK135" s="935"/>
      <c r="AL135" s="935"/>
      <c r="AM135" s="935"/>
      <c r="AN135" s="935"/>
      <c r="AO135" s="935"/>
      <c r="AP135" s="935"/>
      <c r="AQ135" s="935"/>
      <c r="AR135" s="935"/>
      <c r="AS135" s="935"/>
      <c r="AT135" s="935"/>
      <c r="AU135" s="935"/>
      <c r="AV135" s="935"/>
      <c r="AW135" s="935"/>
      <c r="AX135" s="935"/>
      <c r="AY135" s="935"/>
      <c r="AZ135" s="935"/>
      <c r="BA135" s="935"/>
      <c r="BB135" s="935"/>
      <c r="BC135" s="935"/>
      <c r="BD135" s="935"/>
      <c r="BE135" s="935"/>
      <c r="BF135" s="935"/>
      <c r="BG135" s="935"/>
      <c r="BH135" s="935"/>
      <c r="BI135" s="935"/>
      <c r="BJ135" s="935"/>
      <c r="BK135" s="935"/>
      <c r="BL135" s="935"/>
      <c r="BM135" s="935"/>
      <c r="BN135" s="935"/>
      <c r="BO135" s="935"/>
      <c r="BP135" s="935"/>
      <c r="BQ135" s="935"/>
      <c r="BR135" s="935"/>
      <c r="BS135" s="935"/>
      <c r="BT135" s="935"/>
    </row>
    <row r="136" spans="1:72" x14ac:dyDescent="0.25">
      <c r="A136" s="935" t="s">
        <v>487</v>
      </c>
      <c r="B136" s="935">
        <v>613.37</v>
      </c>
      <c r="C136" s="935">
        <v>705.86</v>
      </c>
      <c r="D136" s="935">
        <v>465.68</v>
      </c>
      <c r="E136" s="935">
        <v>508.22</v>
      </c>
      <c r="F136" s="935">
        <v>528.5</v>
      </c>
      <c r="G136" s="935">
        <v>567.33000000000004</v>
      </c>
      <c r="H136" s="935">
        <v>615.79</v>
      </c>
      <c r="I136" s="935">
        <v>640.91999999999996</v>
      </c>
      <c r="J136" s="935">
        <v>655.77</v>
      </c>
      <c r="K136" s="935">
        <v>671.91</v>
      </c>
      <c r="L136" s="935">
        <v>690.32</v>
      </c>
      <c r="M136" s="935">
        <v>704.34</v>
      </c>
      <c r="N136" s="935">
        <v>717.08</v>
      </c>
      <c r="O136" s="935">
        <v>729.77</v>
      </c>
      <c r="P136" s="935">
        <v>737.71</v>
      </c>
      <c r="Q136" s="935">
        <v>743.52</v>
      </c>
      <c r="R136" s="935">
        <v>757.24</v>
      </c>
      <c r="S136" s="935">
        <v>767.89</v>
      </c>
      <c r="T136" s="935">
        <v>782.71</v>
      </c>
      <c r="U136" s="935">
        <v>795.25</v>
      </c>
      <c r="V136" s="935">
        <v>808.06</v>
      </c>
      <c r="W136" s="935">
        <v>822.03</v>
      </c>
      <c r="X136" s="935">
        <v>834.45</v>
      </c>
      <c r="Y136" s="935">
        <v>846.64</v>
      </c>
      <c r="Z136" s="935">
        <v>856.24</v>
      </c>
      <c r="AA136" s="935">
        <v>869.12</v>
      </c>
      <c r="AB136" s="935">
        <v>883.55</v>
      </c>
      <c r="AC136" s="935">
        <v>894.05</v>
      </c>
      <c r="AD136" s="935">
        <v>908.01</v>
      </c>
      <c r="AE136" s="974">
        <v>8.9999999999999993E-3</v>
      </c>
      <c r="AF136" s="935"/>
      <c r="AG136" s="935"/>
      <c r="AH136" s="935"/>
      <c r="AI136" s="935"/>
      <c r="AJ136" s="935"/>
      <c r="AK136" s="935"/>
      <c r="AL136" s="935"/>
      <c r="AM136" s="935"/>
      <c r="AN136" s="935"/>
      <c r="AO136" s="935"/>
      <c r="AP136" s="935"/>
      <c r="AQ136" s="935"/>
      <c r="AR136" s="935"/>
      <c r="AS136" s="935"/>
      <c r="AT136" s="935"/>
      <c r="AU136" s="935"/>
      <c r="AV136" s="935"/>
      <c r="AW136" s="935"/>
      <c r="AX136" s="935"/>
      <c r="AY136" s="935"/>
      <c r="AZ136" s="935"/>
      <c r="BA136" s="935"/>
      <c r="BB136" s="935"/>
      <c r="BC136" s="935"/>
      <c r="BD136" s="935"/>
      <c r="BE136" s="935"/>
      <c r="BF136" s="935"/>
      <c r="BG136" s="935"/>
      <c r="BH136" s="935"/>
      <c r="BI136" s="935"/>
      <c r="BJ136" s="935"/>
      <c r="BK136" s="935"/>
      <c r="BL136" s="935"/>
      <c r="BM136" s="935"/>
      <c r="BN136" s="935"/>
      <c r="BO136" s="935"/>
      <c r="BP136" s="935"/>
      <c r="BQ136" s="935"/>
      <c r="BR136" s="935"/>
      <c r="BS136" s="935"/>
      <c r="BT136" s="935"/>
    </row>
    <row r="137" spans="1:72" x14ac:dyDescent="0.25">
      <c r="A137" s="935" t="s">
        <v>516</v>
      </c>
      <c r="B137" s="935">
        <v>1251.3499999999999</v>
      </c>
      <c r="C137" s="935">
        <v>1396.52</v>
      </c>
      <c r="D137" s="935">
        <v>1041.45</v>
      </c>
      <c r="E137" s="935">
        <v>1058.6500000000001</v>
      </c>
      <c r="F137" s="935">
        <v>1088.31</v>
      </c>
      <c r="G137" s="935">
        <v>1162.25</v>
      </c>
      <c r="H137" s="935">
        <v>1220.05</v>
      </c>
      <c r="I137" s="935">
        <v>1251.99</v>
      </c>
      <c r="J137" s="935">
        <v>1276.69</v>
      </c>
      <c r="K137" s="935">
        <v>1306.1199999999999</v>
      </c>
      <c r="L137" s="935">
        <v>1334.33</v>
      </c>
      <c r="M137" s="935">
        <v>1358.39</v>
      </c>
      <c r="N137" s="935">
        <v>1379.14</v>
      </c>
      <c r="O137" s="935">
        <v>1402.91</v>
      </c>
      <c r="P137" s="935">
        <v>1418.92</v>
      </c>
      <c r="Q137" s="935">
        <v>1432.73</v>
      </c>
      <c r="R137" s="935">
        <v>1454.32</v>
      </c>
      <c r="S137" s="935">
        <v>1472.13</v>
      </c>
      <c r="T137" s="935">
        <v>1493.23</v>
      </c>
      <c r="U137" s="935">
        <v>1514.98</v>
      </c>
      <c r="V137" s="935">
        <v>1538.45</v>
      </c>
      <c r="W137" s="935">
        <v>1564.3</v>
      </c>
      <c r="X137" s="935">
        <v>1590.55</v>
      </c>
      <c r="Y137" s="935">
        <v>1615.34</v>
      </c>
      <c r="Z137" s="935">
        <v>1640.71</v>
      </c>
      <c r="AA137" s="935">
        <v>1665.62</v>
      </c>
      <c r="AB137" s="935">
        <v>1688.65</v>
      </c>
      <c r="AC137" s="935">
        <v>1712.28</v>
      </c>
      <c r="AD137" s="935">
        <v>1737.37</v>
      </c>
      <c r="AE137" s="974">
        <v>8.0000000000000002E-3</v>
      </c>
      <c r="AF137" s="935"/>
      <c r="AG137" s="935"/>
      <c r="AH137" s="935"/>
      <c r="AI137" s="935"/>
      <c r="AJ137" s="935"/>
      <c r="AK137" s="935"/>
      <c r="AL137" s="935"/>
      <c r="AM137" s="935"/>
      <c r="AN137" s="935"/>
      <c r="AO137" s="935"/>
      <c r="AP137" s="935"/>
      <c r="AQ137" s="935"/>
      <c r="AR137" s="935"/>
      <c r="AS137" s="935"/>
      <c r="AT137" s="935"/>
      <c r="AU137" s="935"/>
      <c r="AV137" s="935"/>
      <c r="AW137" s="935"/>
      <c r="AX137" s="935"/>
      <c r="AY137" s="935"/>
      <c r="AZ137" s="935"/>
      <c r="BA137" s="935"/>
      <c r="BB137" s="935"/>
      <c r="BC137" s="935"/>
      <c r="BD137" s="935"/>
      <c r="BE137" s="935"/>
      <c r="BF137" s="935"/>
      <c r="BG137" s="935"/>
      <c r="BH137" s="935"/>
      <c r="BI137" s="935"/>
      <c r="BJ137" s="935"/>
      <c r="BK137" s="935"/>
      <c r="BL137" s="935"/>
      <c r="BM137" s="935"/>
      <c r="BN137" s="935"/>
      <c r="BO137" s="935"/>
      <c r="BP137" s="935"/>
      <c r="BQ137" s="935"/>
      <c r="BR137" s="935"/>
      <c r="BS137" s="935"/>
      <c r="BT137" s="935"/>
    </row>
    <row r="138" spans="1:72" x14ac:dyDescent="0.25">
      <c r="A138" s="935" t="s">
        <v>629</v>
      </c>
      <c r="B138" s="935">
        <v>0.05</v>
      </c>
      <c r="C138" s="935">
        <v>0.17</v>
      </c>
      <c r="D138" s="935">
        <v>0.04</v>
      </c>
      <c r="E138" s="935">
        <v>0.09</v>
      </c>
      <c r="F138" s="935">
        <v>0.11</v>
      </c>
      <c r="G138" s="935">
        <v>0.13</v>
      </c>
      <c r="H138" s="935">
        <v>0.15</v>
      </c>
      <c r="I138" s="935">
        <v>0.17</v>
      </c>
      <c r="J138" s="935">
        <v>0.21</v>
      </c>
      <c r="K138" s="935">
        <v>2.34</v>
      </c>
      <c r="L138" s="935">
        <v>3.15</v>
      </c>
      <c r="M138" s="935">
        <v>4</v>
      </c>
      <c r="N138" s="935">
        <v>5.31</v>
      </c>
      <c r="O138" s="935">
        <v>7.12</v>
      </c>
      <c r="P138" s="935">
        <v>9.59</v>
      </c>
      <c r="Q138" s="935">
        <v>17.39</v>
      </c>
      <c r="R138" s="935">
        <v>15.56</v>
      </c>
      <c r="S138" s="935">
        <v>14.53</v>
      </c>
      <c r="T138" s="935">
        <v>15.06</v>
      </c>
      <c r="U138" s="935">
        <v>16.98</v>
      </c>
      <c r="V138" s="935">
        <v>18.95</v>
      </c>
      <c r="W138" s="935">
        <v>20.57</v>
      </c>
      <c r="X138" s="935">
        <v>23.66</v>
      </c>
      <c r="Y138" s="935">
        <v>25.05</v>
      </c>
      <c r="Z138" s="935">
        <v>31.91</v>
      </c>
      <c r="AA138" s="935">
        <v>36.74</v>
      </c>
      <c r="AB138" s="935">
        <v>40.74</v>
      </c>
      <c r="AC138" s="935">
        <v>48.35</v>
      </c>
      <c r="AD138" s="935">
        <v>56.42</v>
      </c>
      <c r="AE138" s="974">
        <v>0.24099999999999999</v>
      </c>
      <c r="AF138" s="935"/>
      <c r="AG138" s="935"/>
      <c r="AH138" s="935"/>
      <c r="AI138" s="935"/>
      <c r="AJ138" s="935"/>
      <c r="AK138" s="935"/>
      <c r="AL138" s="935"/>
      <c r="AM138" s="935"/>
      <c r="AN138" s="935"/>
      <c r="AO138" s="935"/>
      <c r="AP138" s="935"/>
      <c r="AQ138" s="935"/>
      <c r="AR138" s="935"/>
      <c r="AS138" s="935"/>
      <c r="AT138" s="935"/>
      <c r="AU138" s="935"/>
      <c r="AV138" s="935"/>
      <c r="AW138" s="935"/>
      <c r="AX138" s="935"/>
      <c r="AY138" s="935"/>
      <c r="AZ138" s="935"/>
      <c r="BA138" s="935"/>
      <c r="BB138" s="935"/>
      <c r="BC138" s="935"/>
      <c r="BD138" s="935"/>
      <c r="BE138" s="935"/>
      <c r="BF138" s="935"/>
      <c r="BG138" s="935"/>
      <c r="BH138" s="935"/>
      <c r="BI138" s="935"/>
      <c r="BJ138" s="935"/>
      <c r="BK138" s="935"/>
      <c r="BL138" s="935"/>
      <c r="BM138" s="935"/>
      <c r="BN138" s="935"/>
      <c r="BO138" s="935"/>
      <c r="BP138" s="935"/>
      <c r="BQ138" s="935"/>
      <c r="BR138" s="935"/>
      <c r="BS138" s="935"/>
      <c r="BT138" s="935"/>
    </row>
    <row r="139" spans="1:72" x14ac:dyDescent="0.25">
      <c r="A139" s="935" t="s">
        <v>518</v>
      </c>
      <c r="B139" s="935">
        <v>1251.3900000000001</v>
      </c>
      <c r="C139" s="935">
        <v>1396.69</v>
      </c>
      <c r="D139" s="935">
        <v>1041.49</v>
      </c>
      <c r="E139" s="935">
        <v>1058.74</v>
      </c>
      <c r="F139" s="935">
        <v>1088.42</v>
      </c>
      <c r="G139" s="935">
        <v>1162.3699999999999</v>
      </c>
      <c r="H139" s="935">
        <v>1220.2</v>
      </c>
      <c r="I139" s="935">
        <v>1252.1600000000001</v>
      </c>
      <c r="J139" s="935">
        <v>1276.9000000000001</v>
      </c>
      <c r="K139" s="935">
        <v>1308.46</v>
      </c>
      <c r="L139" s="935">
        <v>1337.48</v>
      </c>
      <c r="M139" s="935">
        <v>1362.4</v>
      </c>
      <c r="N139" s="935">
        <v>1384.44</v>
      </c>
      <c r="O139" s="935">
        <v>1410.03</v>
      </c>
      <c r="P139" s="935">
        <v>1428.51</v>
      </c>
      <c r="Q139" s="935">
        <v>1450.12</v>
      </c>
      <c r="R139" s="935">
        <v>1469.88</v>
      </c>
      <c r="S139" s="935">
        <v>1486.66</v>
      </c>
      <c r="T139" s="935">
        <v>1508.29</v>
      </c>
      <c r="U139" s="935">
        <v>1531.96</v>
      </c>
      <c r="V139" s="935">
        <v>1557.41</v>
      </c>
      <c r="W139" s="935">
        <v>1584.86</v>
      </c>
      <c r="X139" s="935">
        <v>1614.21</v>
      </c>
      <c r="Y139" s="935">
        <v>1640.39</v>
      </c>
      <c r="Z139" s="935">
        <v>1672.62</v>
      </c>
      <c r="AA139" s="935">
        <v>1702.37</v>
      </c>
      <c r="AB139" s="935">
        <v>1729.39</v>
      </c>
      <c r="AC139" s="935">
        <v>1760.62</v>
      </c>
      <c r="AD139" s="935">
        <v>1793.79</v>
      </c>
      <c r="AE139" s="974">
        <v>8.9999999999999993E-3</v>
      </c>
      <c r="AF139" s="935"/>
      <c r="AG139" s="935"/>
      <c r="AH139" s="935"/>
      <c r="AI139" s="935"/>
      <c r="AJ139" s="935"/>
      <c r="AK139" s="935"/>
      <c r="AL139" s="935"/>
      <c r="AM139" s="935"/>
      <c r="AN139" s="935"/>
      <c r="AO139" s="935"/>
      <c r="AP139" s="935"/>
      <c r="AQ139" s="935"/>
      <c r="AR139" s="935"/>
      <c r="AS139" s="935"/>
      <c r="AT139" s="935"/>
      <c r="AU139" s="935"/>
      <c r="AV139" s="935"/>
      <c r="AW139" s="935"/>
      <c r="AX139" s="935"/>
      <c r="AY139" s="935"/>
      <c r="AZ139" s="935"/>
      <c r="BA139" s="935"/>
      <c r="BB139" s="935"/>
      <c r="BC139" s="935"/>
      <c r="BD139" s="935"/>
      <c r="BE139" s="935"/>
      <c r="BF139" s="935"/>
      <c r="BG139" s="935"/>
      <c r="BH139" s="935"/>
      <c r="BI139" s="935"/>
      <c r="BJ139" s="935"/>
      <c r="BK139" s="935"/>
      <c r="BL139" s="935"/>
      <c r="BM139" s="935"/>
      <c r="BN139" s="935"/>
      <c r="BO139" s="935"/>
      <c r="BP139" s="935"/>
      <c r="BQ139" s="935"/>
      <c r="BR139" s="935"/>
      <c r="BS139" s="935"/>
      <c r="BT139" s="935"/>
    </row>
    <row r="140" spans="1:72" x14ac:dyDescent="0.25">
      <c r="A140" s="935"/>
      <c r="B140" s="935"/>
      <c r="C140" s="935"/>
      <c r="D140" s="935"/>
      <c r="E140" s="935"/>
      <c r="F140" s="935"/>
      <c r="G140" s="935"/>
      <c r="H140" s="935"/>
      <c r="I140" s="935"/>
      <c r="J140" s="935"/>
      <c r="K140" s="935"/>
      <c r="L140" s="935"/>
      <c r="M140" s="935"/>
      <c r="N140" s="935"/>
      <c r="O140" s="935"/>
      <c r="P140" s="935"/>
      <c r="Q140" s="935"/>
      <c r="R140" s="935"/>
      <c r="S140" s="935"/>
      <c r="T140" s="935"/>
      <c r="U140" s="935"/>
      <c r="V140" s="935"/>
      <c r="W140" s="935"/>
      <c r="X140" s="935"/>
      <c r="Y140" s="935"/>
      <c r="Z140" s="935"/>
      <c r="AA140" s="935"/>
      <c r="AB140" s="935"/>
      <c r="AC140" s="935"/>
      <c r="AD140" s="935"/>
      <c r="AE140" s="935"/>
      <c r="AF140" s="935"/>
      <c r="AG140" s="935"/>
      <c r="AH140" s="935"/>
      <c r="AI140" s="935"/>
      <c r="AJ140" s="935"/>
      <c r="AK140" s="935"/>
      <c r="AL140" s="935"/>
      <c r="AM140" s="935"/>
      <c r="AN140" s="935"/>
      <c r="AO140" s="935"/>
      <c r="AP140" s="935"/>
      <c r="AQ140" s="935"/>
      <c r="AR140" s="935"/>
      <c r="AS140" s="935"/>
      <c r="AT140" s="935"/>
      <c r="AU140" s="935"/>
      <c r="AV140" s="935"/>
      <c r="AW140" s="935"/>
      <c r="AX140" s="935"/>
      <c r="AY140" s="935"/>
      <c r="AZ140" s="935"/>
      <c r="BA140" s="935"/>
      <c r="BB140" s="935"/>
      <c r="BC140" s="935"/>
      <c r="BD140" s="935"/>
      <c r="BE140" s="935"/>
      <c r="BF140" s="935"/>
      <c r="BG140" s="935"/>
      <c r="BH140" s="935"/>
      <c r="BI140" s="935"/>
      <c r="BJ140" s="935"/>
      <c r="BK140" s="935"/>
      <c r="BL140" s="935"/>
      <c r="BM140" s="935"/>
      <c r="BN140" s="935"/>
      <c r="BO140" s="935"/>
      <c r="BP140" s="935"/>
      <c r="BQ140" s="935"/>
      <c r="BR140" s="935"/>
      <c r="BS140" s="935"/>
      <c r="BT140" s="935"/>
    </row>
    <row r="141" spans="1:72" x14ac:dyDescent="0.25">
      <c r="A141" s="935"/>
      <c r="B141" s="935"/>
      <c r="C141" s="935"/>
      <c r="D141" s="935"/>
      <c r="E141" s="935"/>
      <c r="F141" s="935"/>
      <c r="G141" s="935"/>
      <c r="H141" s="935"/>
      <c r="I141" s="935"/>
      <c r="J141" s="935"/>
      <c r="K141" s="935"/>
      <c r="L141" s="935"/>
      <c r="M141" s="935"/>
      <c r="N141" s="935"/>
      <c r="O141" s="935"/>
      <c r="P141" s="935"/>
      <c r="Q141" s="935"/>
      <c r="R141" s="935"/>
      <c r="S141" s="935"/>
      <c r="T141" s="935"/>
      <c r="U141" s="935"/>
      <c r="V141" s="935"/>
      <c r="W141" s="935"/>
      <c r="X141" s="935"/>
      <c r="Y141" s="935"/>
      <c r="Z141" s="935"/>
      <c r="AA141" s="935"/>
      <c r="AB141" s="935"/>
      <c r="AC141" s="935"/>
      <c r="AD141" s="935"/>
      <c r="AE141" s="935"/>
      <c r="AF141" s="935"/>
      <c r="AG141" s="935"/>
      <c r="AH141" s="935"/>
      <c r="AI141" s="935"/>
      <c r="AJ141" s="935"/>
      <c r="AK141" s="935"/>
      <c r="AL141" s="935"/>
      <c r="AM141" s="935"/>
      <c r="AN141" s="935"/>
      <c r="AO141" s="935"/>
      <c r="AP141" s="935"/>
      <c r="AQ141" s="935"/>
      <c r="AR141" s="935"/>
      <c r="AS141" s="935"/>
      <c r="AT141" s="935"/>
      <c r="AU141" s="935"/>
      <c r="AV141" s="935"/>
      <c r="AW141" s="935"/>
      <c r="AX141" s="935"/>
      <c r="AY141" s="935"/>
      <c r="AZ141" s="935"/>
      <c r="BA141" s="935"/>
      <c r="BB141" s="935"/>
      <c r="BC141" s="935"/>
      <c r="BD141" s="935"/>
      <c r="BE141" s="935"/>
      <c r="BF141" s="935"/>
      <c r="BG141" s="935"/>
      <c r="BH141" s="935"/>
      <c r="BI141" s="935"/>
      <c r="BJ141" s="935"/>
      <c r="BK141" s="935"/>
      <c r="BL141" s="935"/>
      <c r="BM141" s="935"/>
      <c r="BN141" s="935"/>
      <c r="BO141" s="935"/>
      <c r="BP141" s="935"/>
      <c r="BQ141" s="935"/>
      <c r="BR141" s="935"/>
      <c r="BS141" s="935"/>
      <c r="BT141" s="935"/>
    </row>
    <row r="142" spans="1:72" x14ac:dyDescent="0.25">
      <c r="A142" s="935" t="s">
        <v>726</v>
      </c>
      <c r="B142" s="935"/>
      <c r="C142" s="935"/>
      <c r="D142" s="935"/>
      <c r="E142" s="935"/>
      <c r="F142" s="935"/>
      <c r="G142" s="935"/>
      <c r="H142" s="935"/>
      <c r="I142" s="935"/>
      <c r="J142" s="935"/>
      <c r="K142" s="935"/>
      <c r="L142" s="935"/>
      <c r="M142" s="935"/>
      <c r="N142" s="935"/>
      <c r="O142" s="935"/>
      <c r="P142" s="935"/>
      <c r="Q142" s="935"/>
      <c r="R142" s="935"/>
      <c r="S142" s="935"/>
      <c r="T142" s="935"/>
      <c r="U142" s="935"/>
      <c r="V142" s="935"/>
      <c r="W142" s="935"/>
      <c r="X142" s="935"/>
      <c r="Y142" s="935"/>
      <c r="Z142" s="935"/>
      <c r="AA142" s="935"/>
      <c r="AB142" s="935"/>
      <c r="AC142" s="935"/>
      <c r="AD142" s="935"/>
      <c r="AE142" s="935"/>
      <c r="AF142" s="935"/>
      <c r="AG142" s="935"/>
      <c r="AH142" s="935"/>
      <c r="AI142" s="935"/>
      <c r="AJ142" s="935"/>
      <c r="AK142" s="935"/>
      <c r="AL142" s="935"/>
      <c r="AM142" s="935"/>
      <c r="AN142" s="935"/>
      <c r="AO142" s="935"/>
      <c r="AP142" s="935"/>
      <c r="AQ142" s="935"/>
      <c r="AR142" s="935"/>
      <c r="AS142" s="935"/>
      <c r="AT142" s="935"/>
      <c r="AU142" s="935"/>
      <c r="AV142" s="935"/>
      <c r="AW142" s="935"/>
      <c r="AX142" s="935"/>
      <c r="AY142" s="935"/>
      <c r="AZ142" s="935"/>
      <c r="BA142" s="935"/>
      <c r="BB142" s="935"/>
      <c r="BC142" s="935"/>
      <c r="BD142" s="935"/>
      <c r="BE142" s="935"/>
      <c r="BF142" s="935"/>
      <c r="BG142" s="935"/>
      <c r="BH142" s="935"/>
      <c r="BI142" s="935"/>
      <c r="BJ142" s="935"/>
      <c r="BK142" s="935"/>
      <c r="BL142" s="935"/>
      <c r="BM142" s="935"/>
      <c r="BN142" s="935"/>
      <c r="BO142" s="935"/>
      <c r="BP142" s="935"/>
      <c r="BQ142" s="935"/>
      <c r="BR142" s="935"/>
      <c r="BS142" s="935"/>
      <c r="BT142" s="935"/>
    </row>
    <row r="143" spans="1:72" x14ac:dyDescent="0.25">
      <c r="A143" s="935" t="s">
        <v>473</v>
      </c>
      <c r="B143" s="935"/>
      <c r="C143" s="935"/>
      <c r="D143" s="935"/>
      <c r="E143" s="935"/>
      <c r="F143" s="935"/>
      <c r="G143" s="935"/>
      <c r="H143" s="935"/>
      <c r="I143" s="935"/>
      <c r="J143" s="935"/>
      <c r="K143" s="935"/>
      <c r="L143" s="935"/>
      <c r="M143" s="935"/>
      <c r="N143" s="935"/>
      <c r="O143" s="935"/>
      <c r="P143" s="935"/>
      <c r="Q143" s="935"/>
      <c r="R143" s="935"/>
      <c r="S143" s="935"/>
      <c r="T143" s="935"/>
      <c r="U143" s="935"/>
      <c r="V143" s="935"/>
      <c r="W143" s="935"/>
      <c r="X143" s="935"/>
      <c r="Y143" s="935"/>
      <c r="Z143" s="935"/>
      <c r="AA143" s="935"/>
      <c r="AB143" s="935"/>
      <c r="AC143" s="935"/>
      <c r="AD143" s="935"/>
      <c r="AE143" s="935"/>
      <c r="AF143" s="935"/>
      <c r="AG143" s="935"/>
      <c r="AH143" s="935"/>
      <c r="AI143" s="935"/>
      <c r="AJ143" s="935"/>
      <c r="AK143" s="935"/>
      <c r="AL143" s="935"/>
      <c r="AM143" s="935"/>
      <c r="AN143" s="935"/>
      <c r="AO143" s="935"/>
      <c r="AP143" s="935"/>
      <c r="AQ143" s="935"/>
      <c r="AR143" s="935"/>
      <c r="AS143" s="935"/>
      <c r="AT143" s="935"/>
      <c r="AU143" s="935"/>
      <c r="AV143" s="935"/>
      <c r="AW143" s="935"/>
      <c r="AX143" s="935"/>
      <c r="AY143" s="935"/>
      <c r="AZ143" s="935"/>
      <c r="BA143" s="935"/>
      <c r="BB143" s="935"/>
      <c r="BC143" s="935"/>
      <c r="BD143" s="935"/>
      <c r="BE143" s="935"/>
      <c r="BF143" s="935"/>
      <c r="BG143" s="935"/>
      <c r="BH143" s="935"/>
      <c r="BI143" s="935"/>
      <c r="BJ143" s="935"/>
      <c r="BK143" s="935"/>
      <c r="BL143" s="935"/>
      <c r="BM143" s="935"/>
      <c r="BN143" s="935"/>
      <c r="BO143" s="935"/>
      <c r="BP143" s="935"/>
      <c r="BQ143" s="935"/>
      <c r="BR143" s="935"/>
      <c r="BS143" s="935"/>
      <c r="BT143" s="935"/>
    </row>
    <row r="144" spans="1:72" x14ac:dyDescent="0.25">
      <c r="A144" s="935" t="s">
        <v>609</v>
      </c>
      <c r="B144" s="935">
        <v>25.67</v>
      </c>
      <c r="C144" s="935">
        <v>29.35</v>
      </c>
      <c r="D144" s="935">
        <v>25.28</v>
      </c>
      <c r="E144" s="935">
        <v>24.73</v>
      </c>
      <c r="F144" s="935">
        <v>25.15</v>
      </c>
      <c r="G144" s="935">
        <v>26.73</v>
      </c>
      <c r="H144" s="935">
        <v>28.51</v>
      </c>
      <c r="I144" s="935">
        <v>30.06</v>
      </c>
      <c r="J144" s="935">
        <v>31.23</v>
      </c>
      <c r="K144" s="935">
        <v>32.520000000000003</v>
      </c>
      <c r="L144" s="935">
        <v>33.75</v>
      </c>
      <c r="M144" s="935">
        <v>35.06</v>
      </c>
      <c r="N144" s="935">
        <v>36.020000000000003</v>
      </c>
      <c r="O144" s="935">
        <v>37.020000000000003</v>
      </c>
      <c r="P144" s="935">
        <v>38.1</v>
      </c>
      <c r="Q144" s="935">
        <v>39.200000000000003</v>
      </c>
      <c r="R144" s="935">
        <v>40.409999999999997</v>
      </c>
      <c r="S144" s="935">
        <v>41.61</v>
      </c>
      <c r="T144" s="935">
        <v>42.82</v>
      </c>
      <c r="U144" s="935">
        <v>43.92</v>
      </c>
      <c r="V144" s="935">
        <v>45.24</v>
      </c>
      <c r="W144" s="935">
        <v>46.58</v>
      </c>
      <c r="X144" s="935">
        <v>48.12</v>
      </c>
      <c r="Y144" s="935">
        <v>49.52</v>
      </c>
      <c r="Z144" s="935">
        <v>51.18</v>
      </c>
      <c r="AA144" s="935">
        <v>52.85</v>
      </c>
      <c r="AB144" s="935">
        <v>54.62</v>
      </c>
      <c r="AC144" s="935">
        <v>56.39</v>
      </c>
      <c r="AD144" s="935">
        <v>58.23</v>
      </c>
      <c r="AE144" s="974">
        <v>2.5999999999999999E-2</v>
      </c>
      <c r="AF144" s="935"/>
      <c r="AG144" s="935"/>
      <c r="AH144" s="935"/>
      <c r="AI144" s="935"/>
      <c r="AJ144" s="935"/>
      <c r="AK144" s="935"/>
      <c r="AL144" s="935"/>
      <c r="AM144" s="935"/>
      <c r="AN144" s="935"/>
      <c r="AO144" s="935"/>
      <c r="AP144" s="935"/>
      <c r="AQ144" s="935"/>
      <c r="AR144" s="935"/>
      <c r="AS144" s="935"/>
      <c r="AT144" s="935"/>
      <c r="AU144" s="935"/>
      <c r="AV144" s="935"/>
      <c r="AW144" s="935"/>
      <c r="AX144" s="935"/>
      <c r="AY144" s="935"/>
      <c r="AZ144" s="935"/>
      <c r="BA144" s="935"/>
      <c r="BB144" s="935"/>
      <c r="BC144" s="935"/>
      <c r="BD144" s="935"/>
      <c r="BE144" s="935"/>
      <c r="BF144" s="935"/>
      <c r="BG144" s="935"/>
      <c r="BH144" s="935"/>
      <c r="BI144" s="935"/>
      <c r="BJ144" s="935"/>
      <c r="BK144" s="935"/>
      <c r="BL144" s="935"/>
      <c r="BM144" s="935"/>
      <c r="BN144" s="935"/>
      <c r="BO144" s="935"/>
      <c r="BP144" s="935"/>
      <c r="BQ144" s="935"/>
      <c r="BR144" s="935"/>
      <c r="BS144" s="935"/>
      <c r="BT144" s="935"/>
    </row>
    <row r="145" spans="1:72" x14ac:dyDescent="0.25">
      <c r="A145" s="935" t="s">
        <v>610</v>
      </c>
      <c r="B145" s="935">
        <v>19.86</v>
      </c>
      <c r="C145" s="935">
        <v>24.47</v>
      </c>
      <c r="D145" s="935">
        <v>18.260000000000002</v>
      </c>
      <c r="E145" s="935">
        <v>18.100000000000001</v>
      </c>
      <c r="F145" s="935">
        <v>18.489999999999998</v>
      </c>
      <c r="G145" s="935">
        <v>19.940000000000001</v>
      </c>
      <c r="H145" s="935">
        <v>21.4</v>
      </c>
      <c r="I145" s="935">
        <v>22.55</v>
      </c>
      <c r="J145" s="935">
        <v>23.49</v>
      </c>
      <c r="K145" s="935">
        <v>24.96</v>
      </c>
      <c r="L145" s="935">
        <v>26.17</v>
      </c>
      <c r="M145" s="935">
        <v>27.44</v>
      </c>
      <c r="N145" s="935">
        <v>28.46</v>
      </c>
      <c r="O145" s="935">
        <v>29.45</v>
      </c>
      <c r="P145" s="935">
        <v>30.25</v>
      </c>
      <c r="Q145" s="935">
        <v>31.17</v>
      </c>
      <c r="R145" s="935">
        <v>32.25</v>
      </c>
      <c r="S145" s="935">
        <v>33.17</v>
      </c>
      <c r="T145" s="935">
        <v>34.24</v>
      </c>
      <c r="U145" s="935">
        <v>35.33</v>
      </c>
      <c r="V145" s="935">
        <v>36.380000000000003</v>
      </c>
      <c r="W145" s="935">
        <v>37.630000000000003</v>
      </c>
      <c r="X145" s="935">
        <v>39.049999999999997</v>
      </c>
      <c r="Y145" s="935">
        <v>40.159999999999997</v>
      </c>
      <c r="Z145" s="935">
        <v>41.73</v>
      </c>
      <c r="AA145" s="935">
        <v>43.3</v>
      </c>
      <c r="AB145" s="935">
        <v>44.82</v>
      </c>
      <c r="AC145" s="935">
        <v>46.47</v>
      </c>
      <c r="AD145" s="935">
        <v>48.16</v>
      </c>
      <c r="AE145" s="974">
        <v>2.5000000000000001E-2</v>
      </c>
      <c r="AF145" s="935"/>
      <c r="AG145" s="935"/>
      <c r="AH145" s="935"/>
      <c r="AI145" s="935"/>
      <c r="AJ145" s="935"/>
      <c r="AK145" s="935"/>
      <c r="AL145" s="935"/>
      <c r="AM145" s="935"/>
      <c r="AN145" s="935"/>
      <c r="AO145" s="935"/>
      <c r="AP145" s="935"/>
      <c r="AQ145" s="935"/>
      <c r="AR145" s="935"/>
      <c r="AS145" s="935"/>
      <c r="AT145" s="935"/>
      <c r="AU145" s="935"/>
      <c r="AV145" s="935"/>
      <c r="AW145" s="935"/>
      <c r="AX145" s="935"/>
      <c r="AY145" s="935"/>
      <c r="AZ145" s="935"/>
      <c r="BA145" s="935"/>
      <c r="BB145" s="935"/>
      <c r="BC145" s="935"/>
      <c r="BD145" s="935"/>
      <c r="BE145" s="935"/>
      <c r="BF145" s="935"/>
      <c r="BG145" s="935"/>
      <c r="BH145" s="935"/>
      <c r="BI145" s="935"/>
      <c r="BJ145" s="935"/>
      <c r="BK145" s="935"/>
      <c r="BL145" s="935"/>
      <c r="BM145" s="935"/>
      <c r="BN145" s="935"/>
      <c r="BO145" s="935"/>
      <c r="BP145" s="935"/>
      <c r="BQ145" s="935"/>
      <c r="BR145" s="935"/>
      <c r="BS145" s="935"/>
      <c r="BT145" s="935"/>
    </row>
    <row r="146" spans="1:72" x14ac:dyDescent="0.25">
      <c r="A146" s="935" t="s">
        <v>510</v>
      </c>
      <c r="B146" s="935">
        <v>12.66</v>
      </c>
      <c r="C146" s="935">
        <v>13.48</v>
      </c>
      <c r="D146" s="935">
        <v>11.57</v>
      </c>
      <c r="E146" s="935">
        <v>11.22</v>
      </c>
      <c r="F146" s="935">
        <v>12.29</v>
      </c>
      <c r="G146" s="935">
        <v>12.56</v>
      </c>
      <c r="H146" s="935">
        <v>12.36</v>
      </c>
      <c r="I146" s="935">
        <v>12.51</v>
      </c>
      <c r="J146" s="935">
        <v>12.88</v>
      </c>
      <c r="K146" s="935">
        <v>13.22</v>
      </c>
      <c r="L146" s="935">
        <v>13.5</v>
      </c>
      <c r="M146" s="935">
        <v>13.83</v>
      </c>
      <c r="N146" s="935">
        <v>14.18</v>
      </c>
      <c r="O146" s="935">
        <v>14.61</v>
      </c>
      <c r="P146" s="935">
        <v>15.06</v>
      </c>
      <c r="Q146" s="935">
        <v>15.64</v>
      </c>
      <c r="R146" s="935">
        <v>16.010000000000002</v>
      </c>
      <c r="S146" s="935">
        <v>16.22</v>
      </c>
      <c r="T146" s="935">
        <v>16.68</v>
      </c>
      <c r="U146" s="935">
        <v>17.260000000000002</v>
      </c>
      <c r="V146" s="935">
        <v>17.91</v>
      </c>
      <c r="W146" s="935">
        <v>18.649999999999999</v>
      </c>
      <c r="X146" s="935">
        <v>19.440000000000001</v>
      </c>
      <c r="Y146" s="935">
        <v>20.29</v>
      </c>
      <c r="Z146" s="935">
        <v>21.26</v>
      </c>
      <c r="AA146" s="935">
        <v>21.98</v>
      </c>
      <c r="AB146" s="935">
        <v>22.61</v>
      </c>
      <c r="AC146" s="935">
        <v>23.44</v>
      </c>
      <c r="AD146" s="935">
        <v>24.2</v>
      </c>
      <c r="AE146" s="974">
        <v>2.1999999999999999E-2</v>
      </c>
      <c r="AF146" s="935"/>
      <c r="AG146" s="935"/>
      <c r="AH146" s="935"/>
      <c r="AI146" s="935"/>
      <c r="AJ146" s="935"/>
      <c r="AK146" s="935"/>
      <c r="AL146" s="935"/>
      <c r="AM146" s="935"/>
      <c r="AN146" s="935"/>
      <c r="AO146" s="935"/>
      <c r="AP146" s="935"/>
      <c r="AQ146" s="935"/>
      <c r="AR146" s="935"/>
      <c r="AS146" s="935"/>
      <c r="AT146" s="935"/>
      <c r="AU146" s="935"/>
      <c r="AV146" s="935"/>
      <c r="AW146" s="935"/>
      <c r="AX146" s="935"/>
      <c r="AY146" s="935"/>
      <c r="AZ146" s="935"/>
      <c r="BA146" s="935"/>
      <c r="BB146" s="935"/>
      <c r="BC146" s="935"/>
      <c r="BD146" s="935"/>
      <c r="BE146" s="935"/>
      <c r="BF146" s="935"/>
      <c r="BG146" s="935"/>
      <c r="BH146" s="935"/>
      <c r="BI146" s="935"/>
      <c r="BJ146" s="935"/>
      <c r="BK146" s="935"/>
      <c r="BL146" s="935"/>
      <c r="BM146" s="935"/>
      <c r="BN146" s="935"/>
      <c r="BO146" s="935"/>
      <c r="BP146" s="935"/>
      <c r="BQ146" s="935"/>
      <c r="BR146" s="935"/>
      <c r="BS146" s="935"/>
      <c r="BT146" s="935"/>
    </row>
    <row r="147" spans="1:72" x14ac:dyDescent="0.25">
      <c r="A147" s="935" t="s">
        <v>479</v>
      </c>
      <c r="B147" s="935">
        <v>31.12</v>
      </c>
      <c r="C147" s="935">
        <v>33.29</v>
      </c>
      <c r="D147" s="935">
        <v>32.83</v>
      </c>
      <c r="E147" s="935">
        <v>31.88</v>
      </c>
      <c r="F147" s="935">
        <v>31.21</v>
      </c>
      <c r="G147" s="935">
        <v>32.9</v>
      </c>
      <c r="H147" s="935">
        <v>33.9</v>
      </c>
      <c r="I147" s="935">
        <v>34.5</v>
      </c>
      <c r="J147" s="935">
        <v>35.020000000000003</v>
      </c>
      <c r="K147" s="935">
        <v>35.89</v>
      </c>
      <c r="L147" s="935">
        <v>36.74</v>
      </c>
      <c r="M147" s="935">
        <v>37.39</v>
      </c>
      <c r="N147" s="935">
        <v>37.97</v>
      </c>
      <c r="O147" s="935">
        <v>38.92</v>
      </c>
      <c r="P147" s="935">
        <v>39.950000000000003</v>
      </c>
      <c r="Q147" s="935">
        <v>40.92</v>
      </c>
      <c r="R147" s="935">
        <v>41.95</v>
      </c>
      <c r="S147" s="935">
        <v>42.94</v>
      </c>
      <c r="T147" s="935">
        <v>43.78</v>
      </c>
      <c r="U147" s="935">
        <v>44.88</v>
      </c>
      <c r="V147" s="935">
        <v>46.07</v>
      </c>
      <c r="W147" s="935">
        <v>47.3</v>
      </c>
      <c r="X147" s="935">
        <v>48.93</v>
      </c>
      <c r="Y147" s="935">
        <v>50.5</v>
      </c>
      <c r="Z147" s="935">
        <v>52.16</v>
      </c>
      <c r="AA147" s="935">
        <v>53.81</v>
      </c>
      <c r="AB147" s="935">
        <v>55.2</v>
      </c>
      <c r="AC147" s="935">
        <v>56.77</v>
      </c>
      <c r="AD147" s="935">
        <v>58.33</v>
      </c>
      <c r="AE147" s="974">
        <v>2.1000000000000001E-2</v>
      </c>
      <c r="AF147" s="935"/>
      <c r="AG147" s="935"/>
      <c r="AH147" s="935"/>
      <c r="AI147" s="935"/>
      <c r="AJ147" s="935"/>
      <c r="AK147" s="935"/>
      <c r="AL147" s="935"/>
      <c r="AM147" s="935"/>
      <c r="AN147" s="935"/>
      <c r="AO147" s="935"/>
      <c r="AP147" s="935"/>
      <c r="AQ147" s="935"/>
      <c r="AR147" s="935"/>
      <c r="AS147" s="935"/>
      <c r="AT147" s="935"/>
      <c r="AU147" s="935"/>
      <c r="AV147" s="935"/>
      <c r="AW147" s="935"/>
      <c r="AX147" s="935"/>
      <c r="AY147" s="935"/>
      <c r="AZ147" s="935"/>
      <c r="BA147" s="935"/>
      <c r="BB147" s="935"/>
      <c r="BC147" s="935"/>
      <c r="BD147" s="935"/>
      <c r="BE147" s="935"/>
      <c r="BF147" s="935"/>
      <c r="BG147" s="935"/>
      <c r="BH147" s="935"/>
      <c r="BI147" s="935"/>
      <c r="BJ147" s="935"/>
      <c r="BK147" s="935"/>
      <c r="BL147" s="935"/>
      <c r="BM147" s="935"/>
      <c r="BN147" s="935"/>
      <c r="BO147" s="935"/>
      <c r="BP147" s="935"/>
      <c r="BQ147" s="935"/>
      <c r="BR147" s="935"/>
      <c r="BS147" s="935"/>
      <c r="BT147" s="935"/>
    </row>
    <row r="148" spans="1:72" x14ac:dyDescent="0.25">
      <c r="A148" s="935"/>
      <c r="B148" s="935"/>
      <c r="C148" s="935"/>
      <c r="D148" s="935"/>
      <c r="E148" s="935"/>
      <c r="F148" s="935"/>
      <c r="G148" s="935"/>
      <c r="H148" s="935"/>
      <c r="I148" s="935"/>
      <c r="J148" s="935"/>
      <c r="K148" s="935"/>
      <c r="L148" s="935"/>
      <c r="M148" s="935"/>
      <c r="N148" s="935"/>
      <c r="O148" s="935"/>
      <c r="P148" s="935"/>
      <c r="Q148" s="935"/>
      <c r="R148" s="935"/>
      <c r="S148" s="935"/>
      <c r="T148" s="935"/>
      <c r="U148" s="935"/>
      <c r="V148" s="935"/>
      <c r="W148" s="935"/>
      <c r="X148" s="935"/>
      <c r="Y148" s="935"/>
      <c r="Z148" s="935"/>
      <c r="AA148" s="935"/>
      <c r="AB148" s="935"/>
      <c r="AC148" s="935"/>
      <c r="AD148" s="935"/>
      <c r="AE148" s="935"/>
      <c r="AF148" s="935"/>
      <c r="AG148" s="935"/>
      <c r="AH148" s="935"/>
      <c r="AI148" s="935"/>
      <c r="AJ148" s="935"/>
      <c r="AK148" s="935"/>
      <c r="AL148" s="935"/>
      <c r="AM148" s="935"/>
      <c r="AN148" s="935"/>
      <c r="AO148" s="935"/>
      <c r="AP148" s="935"/>
      <c r="AQ148" s="935"/>
      <c r="AR148" s="935"/>
      <c r="AS148" s="935"/>
      <c r="AT148" s="935"/>
      <c r="AU148" s="935"/>
      <c r="AV148" s="935"/>
      <c r="AW148" s="935"/>
      <c r="AX148" s="935"/>
      <c r="AY148" s="935"/>
      <c r="AZ148" s="935"/>
      <c r="BA148" s="935"/>
      <c r="BB148" s="935"/>
      <c r="BC148" s="935"/>
      <c r="BD148" s="935"/>
      <c r="BE148" s="935"/>
      <c r="BF148" s="935"/>
      <c r="BG148" s="935"/>
      <c r="BH148" s="935"/>
      <c r="BI148" s="935"/>
      <c r="BJ148" s="935"/>
      <c r="BK148" s="935"/>
      <c r="BL148" s="935"/>
      <c r="BM148" s="935"/>
      <c r="BN148" s="935"/>
      <c r="BO148" s="935"/>
      <c r="BP148" s="935"/>
      <c r="BQ148" s="935"/>
      <c r="BR148" s="935"/>
      <c r="BS148" s="935"/>
      <c r="BT148" s="935"/>
    </row>
    <row r="149" spans="1:72" x14ac:dyDescent="0.25">
      <c r="A149" s="935" t="s">
        <v>480</v>
      </c>
      <c r="B149" s="935"/>
      <c r="C149" s="935"/>
      <c r="D149" s="935"/>
      <c r="E149" s="935"/>
      <c r="F149" s="935"/>
      <c r="G149" s="935"/>
      <c r="H149" s="935"/>
      <c r="I149" s="935"/>
      <c r="J149" s="935"/>
      <c r="K149" s="935"/>
      <c r="L149" s="935"/>
      <c r="M149" s="935"/>
      <c r="N149" s="935"/>
      <c r="O149" s="935"/>
      <c r="P149" s="935"/>
      <c r="Q149" s="935"/>
      <c r="R149" s="935"/>
      <c r="S149" s="935"/>
      <c r="T149" s="935"/>
      <c r="U149" s="935"/>
      <c r="V149" s="935"/>
      <c r="W149" s="935"/>
      <c r="X149" s="935"/>
      <c r="Y149" s="935"/>
      <c r="Z149" s="935"/>
      <c r="AA149" s="935"/>
      <c r="AB149" s="935"/>
      <c r="AC149" s="935"/>
      <c r="AD149" s="935"/>
      <c r="AE149" s="935"/>
      <c r="AF149" s="935"/>
      <c r="AG149" s="935"/>
      <c r="AH149" s="935"/>
      <c r="AI149" s="935"/>
      <c r="AJ149" s="935"/>
      <c r="AK149" s="935"/>
      <c r="AL149" s="935"/>
      <c r="AM149" s="935"/>
      <c r="AN149" s="935"/>
      <c r="AO149" s="935"/>
      <c r="AP149" s="935"/>
      <c r="AQ149" s="935"/>
      <c r="AR149" s="935"/>
      <c r="AS149" s="935"/>
      <c r="AT149" s="935"/>
      <c r="AU149" s="935"/>
      <c r="AV149" s="935"/>
      <c r="AW149" s="935"/>
      <c r="AX149" s="935"/>
      <c r="AY149" s="935"/>
      <c r="AZ149" s="935"/>
      <c r="BA149" s="935"/>
      <c r="BB149" s="935"/>
      <c r="BC149" s="935"/>
      <c r="BD149" s="935"/>
      <c r="BE149" s="935"/>
      <c r="BF149" s="935"/>
      <c r="BG149" s="935"/>
      <c r="BH149" s="935"/>
      <c r="BI149" s="935"/>
      <c r="BJ149" s="935"/>
      <c r="BK149" s="935"/>
      <c r="BL149" s="935"/>
      <c r="BM149" s="935"/>
      <c r="BN149" s="935"/>
      <c r="BO149" s="935"/>
      <c r="BP149" s="935"/>
      <c r="BQ149" s="935"/>
      <c r="BR149" s="935"/>
      <c r="BS149" s="935"/>
      <c r="BT149" s="935"/>
    </row>
    <row r="150" spans="1:72" x14ac:dyDescent="0.25">
      <c r="A150" s="935" t="s">
        <v>609</v>
      </c>
      <c r="B150" s="935">
        <v>20.2</v>
      </c>
      <c r="C150" s="935">
        <v>26.15</v>
      </c>
      <c r="D150" s="935">
        <v>20.12</v>
      </c>
      <c r="E150" s="935">
        <v>21.4</v>
      </c>
      <c r="F150" s="935">
        <v>21.77</v>
      </c>
      <c r="G150" s="935">
        <v>23.3</v>
      </c>
      <c r="H150" s="935">
        <v>25.02</v>
      </c>
      <c r="I150" s="935">
        <v>26.51</v>
      </c>
      <c r="J150" s="935">
        <v>27.61</v>
      </c>
      <c r="K150" s="935">
        <v>28.83</v>
      </c>
      <c r="L150" s="935">
        <v>29.98</v>
      </c>
      <c r="M150" s="935">
        <v>31.22</v>
      </c>
      <c r="N150" s="935">
        <v>32.11</v>
      </c>
      <c r="O150" s="935">
        <v>33.020000000000003</v>
      </c>
      <c r="P150" s="935">
        <v>34.01</v>
      </c>
      <c r="Q150" s="935">
        <v>35.020000000000003</v>
      </c>
      <c r="R150" s="935">
        <v>36.130000000000003</v>
      </c>
      <c r="S150" s="935">
        <v>37.24</v>
      </c>
      <c r="T150" s="935">
        <v>38.35</v>
      </c>
      <c r="U150" s="935">
        <v>39.36</v>
      </c>
      <c r="V150" s="935">
        <v>40.57</v>
      </c>
      <c r="W150" s="935">
        <v>41.81</v>
      </c>
      <c r="X150" s="935">
        <v>43.24</v>
      </c>
      <c r="Y150" s="935">
        <v>44.53</v>
      </c>
      <c r="Z150" s="935">
        <v>46.07</v>
      </c>
      <c r="AA150" s="935">
        <v>47.62</v>
      </c>
      <c r="AB150" s="935">
        <v>49.27</v>
      </c>
      <c r="AC150" s="935">
        <v>50.92</v>
      </c>
      <c r="AD150" s="935">
        <v>52.64</v>
      </c>
      <c r="AE150" s="974">
        <v>2.5999999999999999E-2</v>
      </c>
      <c r="AF150" s="935"/>
      <c r="AG150" s="935"/>
      <c r="AH150" s="935"/>
      <c r="AI150" s="935"/>
      <c r="AJ150" s="935"/>
      <c r="AK150" s="935"/>
      <c r="AL150" s="935"/>
      <c r="AM150" s="935"/>
      <c r="AN150" s="935"/>
      <c r="AO150" s="935"/>
      <c r="AP150" s="935"/>
      <c r="AQ150" s="935"/>
      <c r="AR150" s="935"/>
      <c r="AS150" s="935"/>
      <c r="AT150" s="935"/>
      <c r="AU150" s="935"/>
      <c r="AV150" s="935"/>
      <c r="AW150" s="935"/>
      <c r="AX150" s="935"/>
      <c r="AY150" s="935"/>
      <c r="AZ150" s="935"/>
      <c r="BA150" s="935"/>
      <c r="BB150" s="935"/>
      <c r="BC150" s="935"/>
      <c r="BD150" s="935"/>
      <c r="BE150" s="935"/>
      <c r="BF150" s="935"/>
      <c r="BG150" s="935"/>
      <c r="BH150" s="935"/>
      <c r="BI150" s="935"/>
      <c r="BJ150" s="935"/>
      <c r="BK150" s="935"/>
      <c r="BL150" s="935"/>
      <c r="BM150" s="935"/>
      <c r="BN150" s="935"/>
      <c r="BO150" s="935"/>
      <c r="BP150" s="935"/>
      <c r="BQ150" s="935"/>
      <c r="BR150" s="935"/>
      <c r="BS150" s="935"/>
      <c r="BT150" s="935"/>
    </row>
    <row r="151" spans="1:72" x14ac:dyDescent="0.25">
      <c r="A151" s="935" t="s">
        <v>610</v>
      </c>
      <c r="B151" s="935">
        <v>17.100000000000001</v>
      </c>
      <c r="C151" s="935">
        <v>21.5</v>
      </c>
      <c r="D151" s="935">
        <v>16.04</v>
      </c>
      <c r="E151" s="935">
        <v>15.27</v>
      </c>
      <c r="F151" s="935">
        <v>15.91</v>
      </c>
      <c r="G151" s="935">
        <v>17.34</v>
      </c>
      <c r="H151" s="935">
        <v>18.739999999999998</v>
      </c>
      <c r="I151" s="935">
        <v>19.850000000000001</v>
      </c>
      <c r="J151" s="935">
        <v>20.86</v>
      </c>
      <c r="K151" s="935">
        <v>22.18</v>
      </c>
      <c r="L151" s="935">
        <v>23.33</v>
      </c>
      <c r="M151" s="935">
        <v>24.52</v>
      </c>
      <c r="N151" s="935">
        <v>25.47</v>
      </c>
      <c r="O151" s="935">
        <v>26.39</v>
      </c>
      <c r="P151" s="935">
        <v>27.18</v>
      </c>
      <c r="Q151" s="935">
        <v>28.11</v>
      </c>
      <c r="R151" s="935">
        <v>29.04</v>
      </c>
      <c r="S151" s="935">
        <v>29.83</v>
      </c>
      <c r="T151" s="935">
        <v>30.83</v>
      </c>
      <c r="U151" s="935">
        <v>31.82</v>
      </c>
      <c r="V151" s="935">
        <v>32.83</v>
      </c>
      <c r="W151" s="935">
        <v>34.01</v>
      </c>
      <c r="X151" s="935">
        <v>35.340000000000003</v>
      </c>
      <c r="Y151" s="935">
        <v>36.380000000000003</v>
      </c>
      <c r="Z151" s="935">
        <v>37.86</v>
      </c>
      <c r="AA151" s="935">
        <v>39.340000000000003</v>
      </c>
      <c r="AB151" s="935">
        <v>40.74</v>
      </c>
      <c r="AC151" s="935">
        <v>42.29</v>
      </c>
      <c r="AD151" s="935">
        <v>43.92</v>
      </c>
      <c r="AE151" s="974">
        <v>2.7E-2</v>
      </c>
      <c r="AF151" s="935"/>
      <c r="AG151" s="935"/>
      <c r="AH151" s="935"/>
      <c r="AI151" s="935"/>
      <c r="AJ151" s="935"/>
      <c r="AK151" s="935"/>
      <c r="AL151" s="935"/>
      <c r="AM151" s="935"/>
      <c r="AN151" s="935"/>
      <c r="AO151" s="935"/>
      <c r="AP151" s="935"/>
      <c r="AQ151" s="935"/>
      <c r="AR151" s="935"/>
      <c r="AS151" s="935"/>
      <c r="AT151" s="935"/>
      <c r="AU151" s="935"/>
      <c r="AV151" s="935"/>
      <c r="AW151" s="935"/>
      <c r="AX151" s="935"/>
      <c r="AY151" s="935"/>
      <c r="AZ151" s="935"/>
      <c r="BA151" s="935"/>
      <c r="BB151" s="935"/>
      <c r="BC151" s="935"/>
      <c r="BD151" s="935"/>
      <c r="BE151" s="935"/>
      <c r="BF151" s="935"/>
      <c r="BG151" s="935"/>
      <c r="BH151" s="935"/>
      <c r="BI151" s="935"/>
      <c r="BJ151" s="935"/>
      <c r="BK151" s="935"/>
      <c r="BL151" s="935"/>
      <c r="BM151" s="935"/>
      <c r="BN151" s="935"/>
      <c r="BO151" s="935"/>
      <c r="BP151" s="935"/>
      <c r="BQ151" s="935"/>
      <c r="BR151" s="935"/>
      <c r="BS151" s="935"/>
      <c r="BT151" s="935"/>
    </row>
    <row r="152" spans="1:72" x14ac:dyDescent="0.25">
      <c r="A152" s="935" t="s">
        <v>723</v>
      </c>
      <c r="B152" s="935">
        <v>8.2100000000000009</v>
      </c>
      <c r="C152" s="935">
        <v>15.52</v>
      </c>
      <c r="D152" s="935">
        <v>9.41</v>
      </c>
      <c r="E152" s="935">
        <v>9.74</v>
      </c>
      <c r="F152" s="935">
        <v>10.050000000000001</v>
      </c>
      <c r="G152" s="935">
        <v>11.48</v>
      </c>
      <c r="H152" s="935">
        <v>12.9</v>
      </c>
      <c r="I152" s="935">
        <v>13.98</v>
      </c>
      <c r="J152" s="935">
        <v>14.63</v>
      </c>
      <c r="K152" s="935">
        <v>15.52</v>
      </c>
      <c r="L152" s="935">
        <v>16.37</v>
      </c>
      <c r="M152" s="935">
        <v>17.29</v>
      </c>
      <c r="N152" s="935">
        <v>18.29</v>
      </c>
      <c r="O152" s="935">
        <v>18.899999999999999</v>
      </c>
      <c r="P152" s="935">
        <v>19.57</v>
      </c>
      <c r="Q152" s="935">
        <v>20.27</v>
      </c>
      <c r="R152" s="935">
        <v>21.01</v>
      </c>
      <c r="S152" s="935">
        <v>21.73</v>
      </c>
      <c r="T152" s="935">
        <v>22.45</v>
      </c>
      <c r="U152" s="935">
        <v>23.04</v>
      </c>
      <c r="V152" s="935">
        <v>23.8</v>
      </c>
      <c r="W152" s="935">
        <v>24.66</v>
      </c>
      <c r="X152" s="935">
        <v>25.52</v>
      </c>
      <c r="Y152" s="935">
        <v>26.47</v>
      </c>
      <c r="Z152" s="935">
        <v>27.6</v>
      </c>
      <c r="AA152" s="935">
        <v>28.58</v>
      </c>
      <c r="AB152" s="935">
        <v>29.4</v>
      </c>
      <c r="AC152" s="935">
        <v>30.75</v>
      </c>
      <c r="AD152" s="935">
        <v>31.66</v>
      </c>
      <c r="AE152" s="974">
        <v>2.7E-2</v>
      </c>
      <c r="AF152" s="935"/>
      <c r="AG152" s="935"/>
      <c r="AH152" s="935"/>
      <c r="AI152" s="935"/>
      <c r="AJ152" s="935"/>
      <c r="AK152" s="935"/>
      <c r="AL152" s="935"/>
      <c r="AM152" s="935"/>
      <c r="AN152" s="935"/>
      <c r="AO152" s="935"/>
      <c r="AP152" s="935"/>
      <c r="AQ152" s="935"/>
      <c r="AR152" s="935"/>
      <c r="AS152" s="935"/>
      <c r="AT152" s="935"/>
      <c r="AU152" s="935"/>
      <c r="AV152" s="935"/>
      <c r="AW152" s="935"/>
      <c r="AX152" s="935"/>
      <c r="AY152" s="935"/>
      <c r="AZ152" s="935"/>
      <c r="BA152" s="935"/>
      <c r="BB152" s="935"/>
      <c r="BC152" s="935"/>
      <c r="BD152" s="935"/>
      <c r="BE152" s="935"/>
      <c r="BF152" s="935"/>
      <c r="BG152" s="935"/>
      <c r="BH152" s="935"/>
      <c r="BI152" s="935"/>
      <c r="BJ152" s="935"/>
      <c r="BK152" s="935"/>
      <c r="BL152" s="935"/>
      <c r="BM152" s="935"/>
      <c r="BN152" s="935"/>
      <c r="BO152" s="935"/>
      <c r="BP152" s="935"/>
      <c r="BQ152" s="935"/>
      <c r="BR152" s="935"/>
      <c r="BS152" s="935"/>
      <c r="BT152" s="935"/>
    </row>
    <row r="153" spans="1:72" x14ac:dyDescent="0.25">
      <c r="A153" s="935" t="s">
        <v>510</v>
      </c>
      <c r="B153" s="935">
        <v>10.96</v>
      </c>
      <c r="C153" s="935">
        <v>11.94</v>
      </c>
      <c r="D153" s="935">
        <v>9.18</v>
      </c>
      <c r="E153" s="935">
        <v>8.93</v>
      </c>
      <c r="F153" s="935">
        <v>10.15</v>
      </c>
      <c r="G153" s="935">
        <v>10.65</v>
      </c>
      <c r="H153" s="935">
        <v>10.68</v>
      </c>
      <c r="I153" s="935">
        <v>10.8</v>
      </c>
      <c r="J153" s="935">
        <v>11.14</v>
      </c>
      <c r="K153" s="935">
        <v>11.44</v>
      </c>
      <c r="L153" s="935">
        <v>11.67</v>
      </c>
      <c r="M153" s="935">
        <v>11.96</v>
      </c>
      <c r="N153" s="935">
        <v>12.27</v>
      </c>
      <c r="O153" s="935">
        <v>12.65</v>
      </c>
      <c r="P153" s="935">
        <v>13.05</v>
      </c>
      <c r="Q153" s="935">
        <v>13.58</v>
      </c>
      <c r="R153" s="935">
        <v>13.92</v>
      </c>
      <c r="S153" s="935">
        <v>14.13</v>
      </c>
      <c r="T153" s="935">
        <v>14.53</v>
      </c>
      <c r="U153" s="935">
        <v>15.05</v>
      </c>
      <c r="V153" s="935">
        <v>15.62</v>
      </c>
      <c r="W153" s="935">
        <v>16.3</v>
      </c>
      <c r="X153" s="935">
        <v>17.010000000000002</v>
      </c>
      <c r="Y153" s="935">
        <v>17.78</v>
      </c>
      <c r="Z153" s="935">
        <v>18.690000000000001</v>
      </c>
      <c r="AA153" s="935">
        <v>19.329999999999998</v>
      </c>
      <c r="AB153" s="935">
        <v>19.86</v>
      </c>
      <c r="AC153" s="935">
        <v>20.61</v>
      </c>
      <c r="AD153" s="935">
        <v>21.27</v>
      </c>
      <c r="AE153" s="974">
        <v>2.1999999999999999E-2</v>
      </c>
      <c r="AF153" s="935"/>
      <c r="AG153" s="935"/>
      <c r="AH153" s="935"/>
      <c r="AI153" s="935"/>
      <c r="AJ153" s="935"/>
      <c r="AK153" s="935"/>
      <c r="AL153" s="935"/>
      <c r="AM153" s="935"/>
      <c r="AN153" s="935"/>
      <c r="AO153" s="935"/>
      <c r="AP153" s="935"/>
      <c r="AQ153" s="935"/>
      <c r="AR153" s="935"/>
      <c r="AS153" s="935"/>
      <c r="AT153" s="935"/>
      <c r="AU153" s="935"/>
      <c r="AV153" s="935"/>
      <c r="AW153" s="935"/>
      <c r="AX153" s="935"/>
      <c r="AY153" s="935"/>
      <c r="AZ153" s="935"/>
      <c r="BA153" s="935"/>
      <c r="BB153" s="935"/>
      <c r="BC153" s="935"/>
      <c r="BD153" s="935"/>
      <c r="BE153" s="935"/>
      <c r="BF153" s="935"/>
      <c r="BG153" s="935"/>
      <c r="BH153" s="935"/>
      <c r="BI153" s="935"/>
      <c r="BJ153" s="935"/>
      <c r="BK153" s="935"/>
      <c r="BL153" s="935"/>
      <c r="BM153" s="935"/>
      <c r="BN153" s="935"/>
      <c r="BO153" s="935"/>
      <c r="BP153" s="935"/>
      <c r="BQ153" s="935"/>
      <c r="BR153" s="935"/>
      <c r="BS153" s="935"/>
      <c r="BT153" s="935"/>
    </row>
    <row r="154" spans="1:72" x14ac:dyDescent="0.25">
      <c r="A154" s="935" t="s">
        <v>479</v>
      </c>
      <c r="B154" s="935">
        <v>28.18</v>
      </c>
      <c r="C154" s="935">
        <v>30.47</v>
      </c>
      <c r="D154" s="935">
        <v>29.38</v>
      </c>
      <c r="E154" s="935">
        <v>28.19</v>
      </c>
      <c r="F154" s="935">
        <v>26.85</v>
      </c>
      <c r="G154" s="935">
        <v>28.28</v>
      </c>
      <c r="H154" s="935">
        <v>28.88</v>
      </c>
      <c r="I154" s="935">
        <v>29.09</v>
      </c>
      <c r="J154" s="935">
        <v>29.58</v>
      </c>
      <c r="K154" s="935">
        <v>30.41</v>
      </c>
      <c r="L154" s="935">
        <v>31.16</v>
      </c>
      <c r="M154" s="935">
        <v>31.75</v>
      </c>
      <c r="N154" s="935">
        <v>32.270000000000003</v>
      </c>
      <c r="O154" s="935">
        <v>33.15</v>
      </c>
      <c r="P154" s="935">
        <v>34.090000000000003</v>
      </c>
      <c r="Q154" s="935">
        <v>34.97</v>
      </c>
      <c r="R154" s="935">
        <v>35.99</v>
      </c>
      <c r="S154" s="935">
        <v>36.94</v>
      </c>
      <c r="T154" s="935">
        <v>37.619999999999997</v>
      </c>
      <c r="U154" s="935">
        <v>38.61</v>
      </c>
      <c r="V154" s="935">
        <v>39.68</v>
      </c>
      <c r="W154" s="935">
        <v>40.82</v>
      </c>
      <c r="X154" s="935">
        <v>42.33</v>
      </c>
      <c r="Y154" s="935">
        <v>43.75</v>
      </c>
      <c r="Z154" s="935">
        <v>45.32</v>
      </c>
      <c r="AA154" s="935">
        <v>46.89</v>
      </c>
      <c r="AB154" s="935">
        <v>48.18</v>
      </c>
      <c r="AC154" s="935">
        <v>49.63</v>
      </c>
      <c r="AD154" s="935">
        <v>51.04</v>
      </c>
      <c r="AE154" s="974">
        <v>1.9E-2</v>
      </c>
      <c r="AF154" s="935"/>
      <c r="AG154" s="935"/>
      <c r="AH154" s="935"/>
      <c r="AI154" s="935"/>
      <c r="AJ154" s="935"/>
      <c r="AK154" s="935"/>
      <c r="AL154" s="935"/>
      <c r="AM154" s="935"/>
      <c r="AN154" s="935"/>
      <c r="AO154" s="935"/>
      <c r="AP154" s="935"/>
      <c r="AQ154" s="935"/>
      <c r="AR154" s="935"/>
      <c r="AS154" s="935"/>
      <c r="AT154" s="935"/>
      <c r="AU154" s="935"/>
      <c r="AV154" s="935"/>
      <c r="AW154" s="935"/>
      <c r="AX154" s="935"/>
      <c r="AY154" s="935"/>
      <c r="AZ154" s="935"/>
      <c r="BA154" s="935"/>
      <c r="BB154" s="935"/>
      <c r="BC154" s="935"/>
      <c r="BD154" s="935"/>
      <c r="BE154" s="935"/>
      <c r="BF154" s="935"/>
      <c r="BG154" s="935"/>
      <c r="BH154" s="935"/>
      <c r="BI154" s="935"/>
      <c r="BJ154" s="935"/>
      <c r="BK154" s="935"/>
      <c r="BL154" s="935"/>
      <c r="BM154" s="935"/>
      <c r="BN154" s="935"/>
      <c r="BO154" s="935"/>
      <c r="BP154" s="935"/>
      <c r="BQ154" s="935"/>
      <c r="BR154" s="935"/>
      <c r="BS154" s="935"/>
      <c r="BT154" s="935"/>
    </row>
    <row r="155" spans="1:72" x14ac:dyDescent="0.25">
      <c r="A155" s="935"/>
      <c r="B155" s="935"/>
      <c r="C155" s="935"/>
      <c r="D155" s="935"/>
      <c r="E155" s="935"/>
      <c r="F155" s="935"/>
      <c r="G155" s="935"/>
      <c r="H155" s="935"/>
      <c r="I155" s="935"/>
      <c r="J155" s="935"/>
      <c r="K155" s="935"/>
      <c r="L155" s="935"/>
      <c r="M155" s="935"/>
      <c r="N155" s="935"/>
      <c r="O155" s="935"/>
      <c r="P155" s="935"/>
      <c r="Q155" s="935"/>
      <c r="R155" s="935"/>
      <c r="S155" s="935"/>
      <c r="T155" s="935"/>
      <c r="U155" s="935"/>
      <c r="V155" s="935"/>
      <c r="W155" s="935"/>
      <c r="X155" s="935"/>
      <c r="Y155" s="935"/>
      <c r="Z155" s="935"/>
      <c r="AA155" s="935"/>
      <c r="AB155" s="935"/>
      <c r="AC155" s="935"/>
      <c r="AD155" s="935"/>
      <c r="AE155" s="935"/>
      <c r="AF155" s="935"/>
      <c r="AG155" s="935"/>
      <c r="AH155" s="935"/>
      <c r="AI155" s="935"/>
      <c r="AJ155" s="935"/>
      <c r="AK155" s="935"/>
      <c r="AL155" s="935"/>
      <c r="AM155" s="935"/>
      <c r="AN155" s="935"/>
      <c r="AO155" s="935"/>
      <c r="AP155" s="935"/>
      <c r="AQ155" s="935"/>
      <c r="AR155" s="935"/>
      <c r="AS155" s="935"/>
      <c r="AT155" s="935"/>
      <c r="AU155" s="935"/>
      <c r="AV155" s="935"/>
      <c r="AW155" s="935"/>
      <c r="AX155" s="935"/>
      <c r="AY155" s="935"/>
      <c r="AZ155" s="935"/>
      <c r="BA155" s="935"/>
      <c r="BB155" s="935"/>
      <c r="BC155" s="935"/>
      <c r="BD155" s="935"/>
      <c r="BE155" s="935"/>
      <c r="BF155" s="935"/>
      <c r="BG155" s="935"/>
      <c r="BH155" s="935"/>
      <c r="BI155" s="935"/>
      <c r="BJ155" s="935"/>
      <c r="BK155" s="935"/>
      <c r="BL155" s="935"/>
      <c r="BM155" s="935"/>
      <c r="BN155" s="935"/>
      <c r="BO155" s="935"/>
      <c r="BP155" s="935"/>
      <c r="BQ155" s="935"/>
      <c r="BR155" s="935"/>
      <c r="BS155" s="935"/>
      <c r="BT155" s="935"/>
    </row>
    <row r="156" spans="1:72" x14ac:dyDescent="0.25">
      <c r="A156" s="935" t="s">
        <v>612</v>
      </c>
      <c r="B156" s="935"/>
      <c r="C156" s="935"/>
      <c r="D156" s="935"/>
      <c r="E156" s="935"/>
      <c r="F156" s="935"/>
      <c r="G156" s="935"/>
      <c r="H156" s="935"/>
      <c r="I156" s="935"/>
      <c r="J156" s="935"/>
      <c r="K156" s="935"/>
      <c r="L156" s="935"/>
      <c r="M156" s="935"/>
      <c r="N156" s="935"/>
      <c r="O156" s="935"/>
      <c r="P156" s="935"/>
      <c r="Q156" s="935"/>
      <c r="R156" s="935"/>
      <c r="S156" s="935"/>
      <c r="T156" s="935"/>
      <c r="U156" s="935"/>
      <c r="V156" s="935"/>
      <c r="W156" s="935"/>
      <c r="X156" s="935"/>
      <c r="Y156" s="935"/>
      <c r="Z156" s="935"/>
      <c r="AA156" s="935"/>
      <c r="AB156" s="935"/>
      <c r="AC156" s="935"/>
      <c r="AD156" s="935"/>
      <c r="AE156" s="935"/>
      <c r="AF156" s="935"/>
      <c r="AG156" s="935"/>
      <c r="AH156" s="935"/>
      <c r="AI156" s="935"/>
      <c r="AJ156" s="935"/>
      <c r="AK156" s="935"/>
      <c r="AL156" s="935"/>
      <c r="AM156" s="935"/>
      <c r="AN156" s="935"/>
      <c r="AO156" s="935"/>
      <c r="AP156" s="935"/>
      <c r="AQ156" s="935"/>
      <c r="AR156" s="935"/>
      <c r="AS156" s="935"/>
      <c r="AT156" s="935"/>
      <c r="AU156" s="935"/>
      <c r="AV156" s="935"/>
      <c r="AW156" s="935"/>
      <c r="AX156" s="935"/>
      <c r="AY156" s="935"/>
      <c r="AZ156" s="935"/>
      <c r="BA156" s="935"/>
      <c r="BB156" s="935"/>
      <c r="BC156" s="935"/>
      <c r="BD156" s="935"/>
      <c r="BE156" s="935"/>
      <c r="BF156" s="935"/>
      <c r="BG156" s="935"/>
      <c r="BH156" s="935"/>
      <c r="BI156" s="935"/>
      <c r="BJ156" s="935"/>
      <c r="BK156" s="935"/>
      <c r="BL156" s="935"/>
      <c r="BM156" s="935"/>
      <c r="BN156" s="935"/>
      <c r="BO156" s="935"/>
      <c r="BP156" s="935"/>
      <c r="BQ156" s="935"/>
      <c r="BR156" s="935"/>
      <c r="BS156" s="935"/>
      <c r="BT156" s="935"/>
    </row>
    <row r="157" spans="1:72" x14ac:dyDescent="0.25">
      <c r="A157" s="935" t="s">
        <v>609</v>
      </c>
      <c r="B157" s="935">
        <v>21.53</v>
      </c>
      <c r="C157" s="935">
        <v>24.2</v>
      </c>
      <c r="D157" s="935">
        <v>18.920000000000002</v>
      </c>
      <c r="E157" s="935">
        <v>18.920000000000002</v>
      </c>
      <c r="F157" s="935">
        <v>19.260000000000002</v>
      </c>
      <c r="G157" s="935">
        <v>20.76</v>
      </c>
      <c r="H157" s="935">
        <v>22.51</v>
      </c>
      <c r="I157" s="935">
        <v>24</v>
      </c>
      <c r="J157" s="935">
        <v>25.06</v>
      </c>
      <c r="K157" s="935">
        <v>26.38</v>
      </c>
      <c r="L157" s="935">
        <v>27.45</v>
      </c>
      <c r="M157" s="935">
        <v>28.6</v>
      </c>
      <c r="N157" s="935">
        <v>29.51</v>
      </c>
      <c r="O157" s="935">
        <v>30.38</v>
      </c>
      <c r="P157" s="935">
        <v>31.31</v>
      </c>
      <c r="Q157" s="935">
        <v>32.270000000000003</v>
      </c>
      <c r="R157" s="935">
        <v>33.340000000000003</v>
      </c>
      <c r="S157" s="935">
        <v>34.39</v>
      </c>
      <c r="T157" s="935">
        <v>35.450000000000003</v>
      </c>
      <c r="U157" s="935">
        <v>36.4</v>
      </c>
      <c r="V157" s="935">
        <v>37.549999999999997</v>
      </c>
      <c r="W157" s="935">
        <v>38.729999999999997</v>
      </c>
      <c r="X157" s="935">
        <v>40.1</v>
      </c>
      <c r="Y157" s="935">
        <v>41.33</v>
      </c>
      <c r="Z157" s="935">
        <v>42.81</v>
      </c>
      <c r="AA157" s="935">
        <v>44.29</v>
      </c>
      <c r="AB157" s="935">
        <v>45.9</v>
      </c>
      <c r="AC157" s="935">
        <v>47.5</v>
      </c>
      <c r="AD157" s="935">
        <v>49.15</v>
      </c>
      <c r="AE157" s="974">
        <v>2.7E-2</v>
      </c>
      <c r="AF157" s="935"/>
      <c r="AG157" s="935"/>
      <c r="AH157" s="935"/>
      <c r="AI157" s="935"/>
      <c r="AJ157" s="935"/>
      <c r="AK157" s="935"/>
      <c r="AL157" s="935"/>
      <c r="AM157" s="935"/>
      <c r="AN157" s="935"/>
      <c r="AO157" s="935"/>
      <c r="AP157" s="935"/>
      <c r="AQ157" s="935"/>
      <c r="AR157" s="935"/>
      <c r="AS157" s="935"/>
      <c r="AT157" s="935"/>
      <c r="AU157" s="935"/>
      <c r="AV157" s="935"/>
      <c r="AW157" s="935"/>
      <c r="AX157" s="935"/>
      <c r="AY157" s="935"/>
      <c r="AZ157" s="935"/>
      <c r="BA157" s="935"/>
      <c r="BB157" s="935"/>
      <c r="BC157" s="935"/>
      <c r="BD157" s="935"/>
      <c r="BE157" s="935"/>
      <c r="BF157" s="935"/>
      <c r="BG157" s="935"/>
      <c r="BH157" s="935"/>
      <c r="BI157" s="935"/>
      <c r="BJ157" s="935"/>
      <c r="BK157" s="935"/>
      <c r="BL157" s="935"/>
      <c r="BM157" s="935"/>
      <c r="BN157" s="935"/>
      <c r="BO157" s="935"/>
      <c r="BP157" s="935"/>
      <c r="BQ157" s="935"/>
      <c r="BR157" s="935"/>
      <c r="BS157" s="935"/>
      <c r="BT157" s="935"/>
    </row>
    <row r="158" spans="1:72" x14ac:dyDescent="0.25">
      <c r="A158" s="935" t="s">
        <v>610</v>
      </c>
      <c r="B158" s="935">
        <v>17.68</v>
      </c>
      <c r="C158" s="935">
        <v>22.31</v>
      </c>
      <c r="D158" s="935">
        <v>16.649999999999999</v>
      </c>
      <c r="E158" s="935">
        <v>14.82</v>
      </c>
      <c r="F158" s="935">
        <v>16.05</v>
      </c>
      <c r="G158" s="935">
        <v>17.52</v>
      </c>
      <c r="H158" s="935">
        <v>18.95</v>
      </c>
      <c r="I158" s="935">
        <v>20.07</v>
      </c>
      <c r="J158" s="935">
        <v>21.18</v>
      </c>
      <c r="K158" s="935">
        <v>22.46</v>
      </c>
      <c r="L158" s="935">
        <v>23.62</v>
      </c>
      <c r="M158" s="935">
        <v>24.81</v>
      </c>
      <c r="N158" s="935">
        <v>25.76</v>
      </c>
      <c r="O158" s="935">
        <v>26.68</v>
      </c>
      <c r="P158" s="935">
        <v>27.5</v>
      </c>
      <c r="Q158" s="935">
        <v>28.52</v>
      </c>
      <c r="R158" s="935">
        <v>29.39</v>
      </c>
      <c r="S158" s="935">
        <v>30.15</v>
      </c>
      <c r="T158" s="935">
        <v>31.18</v>
      </c>
      <c r="U158" s="935">
        <v>32.159999999999997</v>
      </c>
      <c r="V158" s="935">
        <v>33.21</v>
      </c>
      <c r="W158" s="935">
        <v>34.409999999999997</v>
      </c>
      <c r="X158" s="935">
        <v>35.770000000000003</v>
      </c>
      <c r="Y158" s="935">
        <v>36.83</v>
      </c>
      <c r="Z158" s="935">
        <v>38.33</v>
      </c>
      <c r="AA158" s="935">
        <v>39.83</v>
      </c>
      <c r="AB158" s="935">
        <v>41.25</v>
      </c>
      <c r="AC158" s="935">
        <v>42.82</v>
      </c>
      <c r="AD158" s="935">
        <v>44.51</v>
      </c>
      <c r="AE158" s="974">
        <v>2.5999999999999999E-2</v>
      </c>
      <c r="AF158" s="935"/>
      <c r="AG158" s="935"/>
      <c r="AH158" s="935"/>
      <c r="AI158" s="935"/>
      <c r="AJ158" s="935"/>
      <c r="AK158" s="935"/>
      <c r="AL158" s="935"/>
      <c r="AM158" s="935"/>
      <c r="AN158" s="935"/>
      <c r="AO158" s="935"/>
      <c r="AP158" s="935"/>
      <c r="AQ158" s="935"/>
      <c r="AR158" s="935"/>
      <c r="AS158" s="935"/>
      <c r="AT158" s="935"/>
      <c r="AU158" s="935"/>
      <c r="AV158" s="935"/>
      <c r="AW158" s="935"/>
      <c r="AX158" s="935"/>
      <c r="AY158" s="935"/>
      <c r="AZ158" s="935"/>
      <c r="BA158" s="935"/>
      <c r="BB158" s="935"/>
      <c r="BC158" s="935"/>
      <c r="BD158" s="935"/>
      <c r="BE158" s="935"/>
      <c r="BF158" s="935"/>
      <c r="BG158" s="935"/>
      <c r="BH158" s="935"/>
      <c r="BI158" s="935"/>
      <c r="BJ158" s="935"/>
      <c r="BK158" s="935"/>
      <c r="BL158" s="935"/>
      <c r="BM158" s="935"/>
      <c r="BN158" s="935"/>
      <c r="BO158" s="935"/>
      <c r="BP158" s="935"/>
      <c r="BQ158" s="935"/>
      <c r="BR158" s="935"/>
      <c r="BS158" s="935"/>
      <c r="BT158" s="935"/>
    </row>
    <row r="159" spans="1:72" x14ac:dyDescent="0.25">
      <c r="A159" s="935" t="s">
        <v>611</v>
      </c>
      <c r="B159" s="935">
        <v>8.65</v>
      </c>
      <c r="C159" s="935">
        <v>16.309999999999999</v>
      </c>
      <c r="D159" s="935">
        <v>9.89</v>
      </c>
      <c r="E159" s="935">
        <v>13.52</v>
      </c>
      <c r="F159" s="935">
        <v>13.82</v>
      </c>
      <c r="G159" s="935">
        <v>15.16</v>
      </c>
      <c r="H159" s="935">
        <v>16.489999999999998</v>
      </c>
      <c r="I159" s="935">
        <v>17.62</v>
      </c>
      <c r="J159" s="935">
        <v>18.350000000000001</v>
      </c>
      <c r="K159" s="935">
        <v>19.239999999999998</v>
      </c>
      <c r="L159" s="935">
        <v>20.059999999999999</v>
      </c>
      <c r="M159" s="935">
        <v>20.97</v>
      </c>
      <c r="N159" s="935">
        <v>21.68</v>
      </c>
      <c r="O159" s="935">
        <v>22.24</v>
      </c>
      <c r="P159" s="935">
        <v>23</v>
      </c>
      <c r="Q159" s="935">
        <v>23.74</v>
      </c>
      <c r="R159" s="935">
        <v>24.52</v>
      </c>
      <c r="S159" s="935">
        <v>25.31</v>
      </c>
      <c r="T159" s="935">
        <v>26.1</v>
      </c>
      <c r="U159" s="935">
        <v>26.74</v>
      </c>
      <c r="V159" s="935">
        <v>27.57</v>
      </c>
      <c r="W159" s="935">
        <v>28.51</v>
      </c>
      <c r="X159" s="935">
        <v>29.51</v>
      </c>
      <c r="Y159" s="935">
        <v>30.6</v>
      </c>
      <c r="Z159" s="935">
        <v>31.8</v>
      </c>
      <c r="AA159" s="935">
        <v>32.92</v>
      </c>
      <c r="AB159" s="935">
        <v>34.03</v>
      </c>
      <c r="AC159" s="935">
        <v>35.29</v>
      </c>
      <c r="AD159" s="935">
        <v>36.5</v>
      </c>
      <c r="AE159" s="974">
        <v>0.03</v>
      </c>
      <c r="AF159" s="935"/>
      <c r="AG159" s="935"/>
      <c r="AH159" s="935"/>
      <c r="AI159" s="935"/>
      <c r="AJ159" s="935"/>
      <c r="AK159" s="935"/>
      <c r="AL159" s="935"/>
      <c r="AM159" s="935"/>
      <c r="AN159" s="935"/>
      <c r="AO159" s="935"/>
      <c r="AP159" s="935"/>
      <c r="AQ159" s="935"/>
      <c r="AR159" s="935"/>
      <c r="AS159" s="935"/>
      <c r="AT159" s="935"/>
      <c r="AU159" s="935"/>
      <c r="AV159" s="935"/>
      <c r="AW159" s="935"/>
      <c r="AX159" s="935"/>
      <c r="AY159" s="935"/>
      <c r="AZ159" s="935"/>
      <c r="BA159" s="935"/>
      <c r="BB159" s="935"/>
      <c r="BC159" s="935"/>
      <c r="BD159" s="935"/>
      <c r="BE159" s="935"/>
      <c r="BF159" s="935"/>
      <c r="BG159" s="935"/>
      <c r="BH159" s="935"/>
      <c r="BI159" s="935"/>
      <c r="BJ159" s="935"/>
      <c r="BK159" s="935"/>
      <c r="BL159" s="935"/>
      <c r="BM159" s="935"/>
      <c r="BN159" s="935"/>
      <c r="BO159" s="935"/>
      <c r="BP159" s="935"/>
      <c r="BQ159" s="935"/>
      <c r="BR159" s="935"/>
      <c r="BS159" s="935"/>
      <c r="BT159" s="935"/>
    </row>
    <row r="160" spans="1:72" x14ac:dyDescent="0.25">
      <c r="A160" s="935" t="s">
        <v>613</v>
      </c>
      <c r="B160" s="935">
        <v>7.41</v>
      </c>
      <c r="C160" s="935">
        <v>9.11</v>
      </c>
      <c r="D160" s="935">
        <v>4.26</v>
      </c>
      <c r="E160" s="935">
        <v>5.0199999999999996</v>
      </c>
      <c r="F160" s="935">
        <v>6.23</v>
      </c>
      <c r="G160" s="935">
        <v>6.76</v>
      </c>
      <c r="H160" s="935">
        <v>6.82</v>
      </c>
      <c r="I160" s="935">
        <v>6.89</v>
      </c>
      <c r="J160" s="935">
        <v>7.18</v>
      </c>
      <c r="K160" s="935">
        <v>7.39</v>
      </c>
      <c r="L160" s="935">
        <v>7.52</v>
      </c>
      <c r="M160" s="935">
        <v>7.71</v>
      </c>
      <c r="N160" s="935">
        <v>7.91</v>
      </c>
      <c r="O160" s="935">
        <v>8.19</v>
      </c>
      <c r="P160" s="935">
        <v>8.4700000000000006</v>
      </c>
      <c r="Q160" s="935">
        <v>8.8800000000000008</v>
      </c>
      <c r="R160" s="935">
        <v>9.14</v>
      </c>
      <c r="S160" s="935">
        <v>9.26</v>
      </c>
      <c r="T160" s="935">
        <v>9.52</v>
      </c>
      <c r="U160" s="935">
        <v>9.9</v>
      </c>
      <c r="V160" s="935">
        <v>10.31</v>
      </c>
      <c r="W160" s="935">
        <v>10.85</v>
      </c>
      <c r="X160" s="935">
        <v>11.41</v>
      </c>
      <c r="Y160" s="935">
        <v>12.04</v>
      </c>
      <c r="Z160" s="935">
        <v>12.79</v>
      </c>
      <c r="AA160" s="935">
        <v>13.25</v>
      </c>
      <c r="AB160" s="935">
        <v>13.56</v>
      </c>
      <c r="AC160" s="935">
        <v>14.17</v>
      </c>
      <c r="AD160" s="935">
        <v>14.67</v>
      </c>
      <c r="AE160" s="974">
        <v>1.7999999999999999E-2</v>
      </c>
      <c r="AF160" s="935"/>
      <c r="AG160" s="935"/>
      <c r="AH160" s="935"/>
      <c r="AI160" s="935"/>
      <c r="AJ160" s="935"/>
      <c r="AK160" s="935"/>
      <c r="AL160" s="935"/>
      <c r="AM160" s="935"/>
      <c r="AN160" s="935"/>
      <c r="AO160" s="935"/>
      <c r="AP160" s="935"/>
      <c r="AQ160" s="935"/>
      <c r="AR160" s="935"/>
      <c r="AS160" s="935"/>
      <c r="AT160" s="935"/>
      <c r="AU160" s="935"/>
      <c r="AV160" s="935"/>
      <c r="AW160" s="935"/>
      <c r="AX160" s="935"/>
      <c r="AY160" s="935"/>
      <c r="AZ160" s="935"/>
      <c r="BA160" s="935"/>
      <c r="BB160" s="935"/>
      <c r="BC160" s="935"/>
      <c r="BD160" s="935"/>
      <c r="BE160" s="935"/>
      <c r="BF160" s="935"/>
      <c r="BG160" s="935"/>
      <c r="BH160" s="935"/>
      <c r="BI160" s="935"/>
      <c r="BJ160" s="935"/>
      <c r="BK160" s="935"/>
      <c r="BL160" s="935"/>
      <c r="BM160" s="935"/>
      <c r="BN160" s="935"/>
      <c r="BO160" s="935"/>
      <c r="BP160" s="935"/>
      <c r="BQ160" s="935"/>
      <c r="BR160" s="935"/>
      <c r="BS160" s="935"/>
      <c r="BT160" s="935"/>
    </row>
    <row r="161" spans="1:72" x14ac:dyDescent="0.25">
      <c r="A161" s="935" t="s">
        <v>614</v>
      </c>
      <c r="B161" s="935">
        <v>3.61</v>
      </c>
      <c r="C161" s="935">
        <v>4.49</v>
      </c>
      <c r="D161" s="935">
        <v>4.79</v>
      </c>
      <c r="E161" s="935">
        <v>4.9400000000000004</v>
      </c>
      <c r="F161" s="935">
        <v>5.07</v>
      </c>
      <c r="G161" s="935">
        <v>5.31</v>
      </c>
      <c r="H161" s="935">
        <v>5.44</v>
      </c>
      <c r="I161" s="935">
        <v>5.56</v>
      </c>
      <c r="J161" s="935">
        <v>5.66</v>
      </c>
      <c r="K161" s="935">
        <v>5.77</v>
      </c>
      <c r="L161" s="935">
        <v>5.97</v>
      </c>
      <c r="M161" s="935">
        <v>6.14</v>
      </c>
      <c r="N161" s="935">
        <v>6.34</v>
      </c>
      <c r="O161" s="935">
        <v>6.5</v>
      </c>
      <c r="P161" s="935">
        <v>6.68</v>
      </c>
      <c r="Q161" s="935">
        <v>6.84</v>
      </c>
      <c r="R161" s="935">
        <v>6.98</v>
      </c>
      <c r="S161" s="935">
        <v>7.07</v>
      </c>
      <c r="T161" s="935">
        <v>7.11</v>
      </c>
      <c r="U161" s="935">
        <v>7.15</v>
      </c>
      <c r="V161" s="935">
        <v>7.27</v>
      </c>
      <c r="W161" s="935">
        <v>7.43</v>
      </c>
      <c r="X161" s="935">
        <v>7.55</v>
      </c>
      <c r="Y161" s="935">
        <v>7.72</v>
      </c>
      <c r="Z161" s="935">
        <v>7.86</v>
      </c>
      <c r="AA161" s="935">
        <v>8.02</v>
      </c>
      <c r="AB161" s="935">
        <v>8.18</v>
      </c>
      <c r="AC161" s="935">
        <v>8.33</v>
      </c>
      <c r="AD161" s="935">
        <v>8.5</v>
      </c>
      <c r="AE161" s="974">
        <v>2.4E-2</v>
      </c>
      <c r="AF161" s="935"/>
      <c r="AG161" s="935"/>
      <c r="AH161" s="935"/>
      <c r="AI161" s="935"/>
      <c r="AJ161" s="935"/>
      <c r="AK161" s="935"/>
      <c r="AL161" s="935"/>
      <c r="AM161" s="935"/>
      <c r="AN161" s="935"/>
      <c r="AO161" s="935"/>
      <c r="AP161" s="935"/>
      <c r="AQ161" s="935"/>
      <c r="AR161" s="935"/>
      <c r="AS161" s="935"/>
      <c r="AT161" s="935"/>
      <c r="AU161" s="935"/>
      <c r="AV161" s="935"/>
      <c r="AW161" s="935"/>
      <c r="AX161" s="935"/>
      <c r="AY161" s="935"/>
      <c r="AZ161" s="935"/>
      <c r="BA161" s="935"/>
      <c r="BB161" s="935"/>
      <c r="BC161" s="935"/>
      <c r="BD161" s="935"/>
      <c r="BE161" s="935"/>
      <c r="BF161" s="935"/>
      <c r="BG161" s="935"/>
      <c r="BH161" s="935"/>
      <c r="BI161" s="935"/>
      <c r="BJ161" s="935"/>
      <c r="BK161" s="935"/>
      <c r="BL161" s="935"/>
      <c r="BM161" s="935"/>
      <c r="BN161" s="935"/>
      <c r="BO161" s="935"/>
      <c r="BP161" s="935"/>
      <c r="BQ161" s="935"/>
      <c r="BR161" s="935"/>
      <c r="BS161" s="935"/>
      <c r="BT161" s="935"/>
    </row>
    <row r="162" spans="1:72" x14ac:dyDescent="0.25">
      <c r="A162" s="935" t="s">
        <v>615</v>
      </c>
      <c r="B162" s="935">
        <v>2.4300000000000002</v>
      </c>
      <c r="C162" s="935">
        <v>2.84</v>
      </c>
      <c r="D162" s="935">
        <v>2.83</v>
      </c>
      <c r="E162" s="935">
        <v>2.77</v>
      </c>
      <c r="F162" s="935">
        <v>2.81</v>
      </c>
      <c r="G162" s="935">
        <v>2.85</v>
      </c>
      <c r="H162" s="935">
        <v>2.86</v>
      </c>
      <c r="I162" s="935">
        <v>2.93</v>
      </c>
      <c r="J162" s="935">
        <v>3</v>
      </c>
      <c r="K162" s="935">
        <v>3.04</v>
      </c>
      <c r="L162" s="935">
        <v>3.11</v>
      </c>
      <c r="M162" s="935">
        <v>3.16</v>
      </c>
      <c r="N162" s="935">
        <v>3.2</v>
      </c>
      <c r="O162" s="935">
        <v>3.26</v>
      </c>
      <c r="P162" s="935">
        <v>3.31</v>
      </c>
      <c r="Q162" s="935">
        <v>3.38</v>
      </c>
      <c r="R162" s="935">
        <v>3.43</v>
      </c>
      <c r="S162" s="935">
        <v>3.5</v>
      </c>
      <c r="T162" s="935">
        <v>3.56</v>
      </c>
      <c r="U162" s="935">
        <v>3.65</v>
      </c>
      <c r="V162" s="935">
        <v>3.72</v>
      </c>
      <c r="W162" s="935">
        <v>3.82</v>
      </c>
      <c r="X162" s="935">
        <v>3.91</v>
      </c>
      <c r="Y162" s="935">
        <v>4.01</v>
      </c>
      <c r="Z162" s="935">
        <v>4.12</v>
      </c>
      <c r="AA162" s="935">
        <v>4.21</v>
      </c>
      <c r="AB162" s="935">
        <v>4.33</v>
      </c>
      <c r="AC162" s="935">
        <v>4.4400000000000004</v>
      </c>
      <c r="AD162" s="935">
        <v>4.55</v>
      </c>
      <c r="AE162" s="974">
        <v>1.7999999999999999E-2</v>
      </c>
      <c r="AF162" s="935"/>
      <c r="AG162" s="935"/>
      <c r="AH162" s="935"/>
      <c r="AI162" s="935"/>
      <c r="AJ162" s="935"/>
      <c r="AK162" s="935"/>
      <c r="AL162" s="935"/>
      <c r="AM162" s="935"/>
      <c r="AN162" s="935"/>
      <c r="AO162" s="935"/>
      <c r="AP162" s="935"/>
      <c r="AQ162" s="935"/>
      <c r="AR162" s="935"/>
      <c r="AS162" s="935"/>
      <c r="AT162" s="935"/>
      <c r="AU162" s="935"/>
      <c r="AV162" s="935"/>
      <c r="AW162" s="935"/>
      <c r="AX162" s="935"/>
      <c r="AY162" s="935"/>
      <c r="AZ162" s="935"/>
      <c r="BA162" s="935"/>
      <c r="BB162" s="935"/>
      <c r="BC162" s="935"/>
      <c r="BD162" s="935"/>
      <c r="BE162" s="935"/>
      <c r="BF162" s="935"/>
      <c r="BG162" s="935"/>
      <c r="BH162" s="935"/>
      <c r="BI162" s="935"/>
      <c r="BJ162" s="935"/>
      <c r="BK162" s="935"/>
      <c r="BL162" s="935"/>
      <c r="BM162" s="935"/>
      <c r="BN162" s="935"/>
      <c r="BO162" s="935"/>
      <c r="BP162" s="935"/>
      <c r="BQ162" s="935"/>
      <c r="BR162" s="935"/>
      <c r="BS162" s="935"/>
      <c r="BT162" s="935"/>
    </row>
    <row r="163" spans="1:72" x14ac:dyDescent="0.25">
      <c r="A163" s="935" t="s">
        <v>616</v>
      </c>
      <c r="B163" s="935" t="s">
        <v>788</v>
      </c>
      <c r="C163" s="935" t="s">
        <v>788</v>
      </c>
      <c r="D163" s="935" t="s">
        <v>788</v>
      </c>
      <c r="E163" s="935" t="s">
        <v>788</v>
      </c>
      <c r="F163" s="935">
        <v>1.32</v>
      </c>
      <c r="G163" s="935">
        <v>1.1000000000000001</v>
      </c>
      <c r="H163" s="935">
        <v>1.1200000000000001</v>
      </c>
      <c r="I163" s="935">
        <v>1.55</v>
      </c>
      <c r="J163" s="935">
        <v>1.58</v>
      </c>
      <c r="K163" s="935">
        <v>1.65</v>
      </c>
      <c r="L163" s="935">
        <v>1.72</v>
      </c>
      <c r="M163" s="935">
        <v>1.74</v>
      </c>
      <c r="N163" s="935">
        <v>1.76</v>
      </c>
      <c r="O163" s="935">
        <v>1.79</v>
      </c>
      <c r="P163" s="935">
        <v>1.86</v>
      </c>
      <c r="Q163" s="935">
        <v>1.91</v>
      </c>
      <c r="R163" s="935">
        <v>1.98</v>
      </c>
      <c r="S163" s="935">
        <v>1.99</v>
      </c>
      <c r="T163" s="935">
        <v>2.02</v>
      </c>
      <c r="U163" s="935">
        <v>2.04</v>
      </c>
      <c r="V163" s="935">
        <v>2.0699999999999998</v>
      </c>
      <c r="W163" s="935">
        <v>2.1</v>
      </c>
      <c r="X163" s="935">
        <v>2.13</v>
      </c>
      <c r="Y163" s="935">
        <v>2.1800000000000002</v>
      </c>
      <c r="Z163" s="935">
        <v>2.2200000000000002</v>
      </c>
      <c r="AA163" s="935">
        <v>2.2799999999999998</v>
      </c>
      <c r="AB163" s="935">
        <v>2.35</v>
      </c>
      <c r="AC163" s="935">
        <v>2.44</v>
      </c>
      <c r="AD163" s="935">
        <v>2.5299999999999998</v>
      </c>
      <c r="AE163" s="935" t="s">
        <v>788</v>
      </c>
      <c r="AF163" s="935"/>
      <c r="AG163" s="935"/>
      <c r="AH163" s="935"/>
      <c r="AI163" s="935"/>
      <c r="AJ163" s="935"/>
      <c r="AK163" s="935"/>
      <c r="AL163" s="935"/>
      <c r="AM163" s="935"/>
      <c r="AN163" s="935"/>
      <c r="AO163" s="935"/>
      <c r="AP163" s="935"/>
      <c r="AQ163" s="935"/>
      <c r="AR163" s="935"/>
      <c r="AS163" s="935"/>
      <c r="AT163" s="935"/>
      <c r="AU163" s="935"/>
      <c r="AV163" s="935"/>
      <c r="AW163" s="935"/>
      <c r="AX163" s="935"/>
      <c r="AY163" s="935"/>
      <c r="AZ163" s="935"/>
      <c r="BA163" s="935"/>
      <c r="BB163" s="935"/>
      <c r="BC163" s="935"/>
      <c r="BD163" s="935"/>
      <c r="BE163" s="935"/>
      <c r="BF163" s="935"/>
      <c r="BG163" s="935"/>
      <c r="BH163" s="935"/>
      <c r="BI163" s="935"/>
      <c r="BJ163" s="935"/>
      <c r="BK163" s="935"/>
      <c r="BL163" s="935"/>
      <c r="BM163" s="935"/>
      <c r="BN163" s="935"/>
      <c r="BO163" s="935"/>
      <c r="BP163" s="935"/>
      <c r="BQ163" s="935"/>
      <c r="BR163" s="935"/>
      <c r="BS163" s="935"/>
      <c r="BT163" s="935"/>
    </row>
    <row r="164" spans="1:72" x14ac:dyDescent="0.25">
      <c r="A164" s="935" t="s">
        <v>479</v>
      </c>
      <c r="B164" s="935">
        <v>18.600000000000001</v>
      </c>
      <c r="C164" s="935">
        <v>20.21</v>
      </c>
      <c r="D164" s="935">
        <v>20.350000000000001</v>
      </c>
      <c r="E164" s="935">
        <v>19.73</v>
      </c>
      <c r="F164" s="935">
        <v>17.86</v>
      </c>
      <c r="G164" s="935">
        <v>18.77</v>
      </c>
      <c r="H164" s="935">
        <v>18.98</v>
      </c>
      <c r="I164" s="935">
        <v>19.010000000000002</v>
      </c>
      <c r="J164" s="935">
        <v>19.36</v>
      </c>
      <c r="K164" s="935">
        <v>19.989999999999998</v>
      </c>
      <c r="L164" s="935">
        <v>20.51</v>
      </c>
      <c r="M164" s="935">
        <v>20.91</v>
      </c>
      <c r="N164" s="935">
        <v>21.27</v>
      </c>
      <c r="O164" s="935">
        <v>21.9</v>
      </c>
      <c r="P164" s="935">
        <v>22.56</v>
      </c>
      <c r="Q164" s="935">
        <v>23.2</v>
      </c>
      <c r="R164" s="935">
        <v>23.95</v>
      </c>
      <c r="S164" s="935">
        <v>24.64</v>
      </c>
      <c r="T164" s="935">
        <v>25.11</v>
      </c>
      <c r="U164" s="935">
        <v>25.79</v>
      </c>
      <c r="V164" s="935">
        <v>26.57</v>
      </c>
      <c r="W164" s="935">
        <v>27.41</v>
      </c>
      <c r="X164" s="935">
        <v>28.5</v>
      </c>
      <c r="Y164" s="935">
        <v>29.55</v>
      </c>
      <c r="Z164" s="935">
        <v>30.67</v>
      </c>
      <c r="AA164" s="935">
        <v>31.8</v>
      </c>
      <c r="AB164" s="935">
        <v>32.71</v>
      </c>
      <c r="AC164" s="935">
        <v>33.76</v>
      </c>
      <c r="AD164" s="935">
        <v>34.799999999999997</v>
      </c>
      <c r="AE164" s="974">
        <v>0.02</v>
      </c>
      <c r="AF164" s="935"/>
      <c r="AG164" s="935"/>
      <c r="AH164" s="935"/>
      <c r="AI164" s="935"/>
      <c r="AJ164" s="935"/>
      <c r="AK164" s="935"/>
      <c r="AL164" s="935"/>
      <c r="AM164" s="935"/>
      <c r="AN164" s="935"/>
      <c r="AO164" s="935"/>
      <c r="AP164" s="935"/>
      <c r="AQ164" s="935"/>
      <c r="AR164" s="935"/>
      <c r="AS164" s="935"/>
      <c r="AT164" s="935"/>
      <c r="AU164" s="935"/>
      <c r="AV164" s="935"/>
      <c r="AW164" s="935"/>
      <c r="AX164" s="935"/>
      <c r="AY164" s="935"/>
      <c r="AZ164" s="935"/>
      <c r="BA164" s="935"/>
      <c r="BB164" s="935"/>
      <c r="BC164" s="935"/>
      <c r="BD164" s="935"/>
      <c r="BE164" s="935"/>
      <c r="BF164" s="935"/>
      <c r="BG164" s="935"/>
      <c r="BH164" s="935"/>
      <c r="BI164" s="935"/>
      <c r="BJ164" s="935"/>
      <c r="BK164" s="935"/>
      <c r="BL164" s="935"/>
      <c r="BM164" s="935"/>
      <c r="BN164" s="935"/>
      <c r="BO164" s="935"/>
      <c r="BP164" s="935"/>
      <c r="BQ164" s="935"/>
      <c r="BR164" s="935"/>
      <c r="BS164" s="935"/>
      <c r="BT164" s="935"/>
    </row>
    <row r="165" spans="1:72" x14ac:dyDescent="0.25">
      <c r="A165" s="935"/>
      <c r="B165" s="935"/>
      <c r="C165" s="935"/>
      <c r="D165" s="935"/>
      <c r="E165" s="935"/>
      <c r="F165" s="935"/>
      <c r="G165" s="935"/>
      <c r="H165" s="935"/>
      <c r="I165" s="935"/>
      <c r="J165" s="935"/>
      <c r="K165" s="935"/>
      <c r="L165" s="935"/>
      <c r="M165" s="935"/>
      <c r="N165" s="935"/>
      <c r="O165" s="935"/>
      <c r="P165" s="935"/>
      <c r="Q165" s="935"/>
      <c r="R165" s="935"/>
      <c r="S165" s="935"/>
      <c r="T165" s="935"/>
      <c r="U165" s="935"/>
      <c r="V165" s="935"/>
      <c r="W165" s="935"/>
      <c r="X165" s="935"/>
      <c r="Y165" s="935"/>
      <c r="Z165" s="935"/>
      <c r="AA165" s="935"/>
      <c r="AB165" s="935"/>
      <c r="AC165" s="935"/>
      <c r="AD165" s="935"/>
      <c r="AE165" s="935"/>
      <c r="AF165" s="935"/>
      <c r="AG165" s="935"/>
      <c r="AH165" s="935"/>
      <c r="AI165" s="935"/>
      <c r="AJ165" s="935"/>
      <c r="AK165" s="935"/>
      <c r="AL165" s="935"/>
      <c r="AM165" s="935"/>
      <c r="AN165" s="935"/>
      <c r="AO165" s="935"/>
      <c r="AP165" s="935"/>
      <c r="AQ165" s="935"/>
      <c r="AR165" s="935"/>
      <c r="AS165" s="935"/>
      <c r="AT165" s="935"/>
      <c r="AU165" s="935"/>
      <c r="AV165" s="935"/>
      <c r="AW165" s="935"/>
      <c r="AX165" s="935"/>
      <c r="AY165" s="935"/>
      <c r="AZ165" s="935"/>
      <c r="BA165" s="935"/>
      <c r="BB165" s="935"/>
      <c r="BC165" s="935"/>
      <c r="BD165" s="935"/>
      <c r="BE165" s="935"/>
      <c r="BF165" s="935"/>
      <c r="BG165" s="935"/>
      <c r="BH165" s="935"/>
      <c r="BI165" s="935"/>
      <c r="BJ165" s="935"/>
      <c r="BK165" s="935"/>
      <c r="BL165" s="935"/>
      <c r="BM165" s="935"/>
      <c r="BN165" s="935"/>
      <c r="BO165" s="935"/>
      <c r="BP165" s="935"/>
      <c r="BQ165" s="935"/>
      <c r="BR165" s="935"/>
      <c r="BS165" s="935"/>
      <c r="BT165" s="935"/>
    </row>
    <row r="166" spans="1:72" x14ac:dyDescent="0.25">
      <c r="A166" s="935" t="s">
        <v>487</v>
      </c>
      <c r="B166" s="935"/>
      <c r="C166" s="935"/>
      <c r="D166" s="935"/>
      <c r="E166" s="935"/>
      <c r="F166" s="935"/>
      <c r="G166" s="935"/>
      <c r="H166" s="935"/>
      <c r="I166" s="935"/>
      <c r="J166" s="935"/>
      <c r="K166" s="935"/>
      <c r="L166" s="935"/>
      <c r="M166" s="935"/>
      <c r="N166" s="935"/>
      <c r="O166" s="935"/>
      <c r="P166" s="935"/>
      <c r="Q166" s="935"/>
      <c r="R166" s="935"/>
      <c r="S166" s="935"/>
      <c r="T166" s="935"/>
      <c r="U166" s="935"/>
      <c r="V166" s="935"/>
      <c r="W166" s="935"/>
      <c r="X166" s="935"/>
      <c r="Y166" s="935"/>
      <c r="Z166" s="935"/>
      <c r="AA166" s="935"/>
      <c r="AB166" s="935"/>
      <c r="AC166" s="935"/>
      <c r="AD166" s="935"/>
      <c r="AE166" s="935"/>
      <c r="AF166" s="935"/>
      <c r="AG166" s="935"/>
      <c r="AH166" s="935"/>
      <c r="AI166" s="935"/>
      <c r="AJ166" s="935"/>
      <c r="AK166" s="935"/>
      <c r="AL166" s="935"/>
      <c r="AM166" s="935"/>
      <c r="AN166" s="935"/>
      <c r="AO166" s="935"/>
      <c r="AP166" s="935"/>
      <c r="AQ166" s="935"/>
      <c r="AR166" s="935"/>
      <c r="AS166" s="935"/>
      <c r="AT166" s="935"/>
      <c r="AU166" s="935"/>
      <c r="AV166" s="935"/>
      <c r="AW166" s="935"/>
      <c r="AX166" s="935"/>
      <c r="AY166" s="935"/>
      <c r="AZ166" s="935"/>
      <c r="BA166" s="935"/>
      <c r="BB166" s="935"/>
      <c r="BC166" s="935"/>
      <c r="BD166" s="935"/>
      <c r="BE166" s="935"/>
      <c r="BF166" s="935"/>
      <c r="BG166" s="935"/>
      <c r="BH166" s="935"/>
      <c r="BI166" s="935"/>
      <c r="BJ166" s="935"/>
      <c r="BK166" s="935"/>
      <c r="BL166" s="935"/>
      <c r="BM166" s="935"/>
      <c r="BN166" s="935"/>
      <c r="BO166" s="935"/>
      <c r="BP166" s="935"/>
      <c r="BQ166" s="935"/>
      <c r="BR166" s="935"/>
      <c r="BS166" s="935"/>
      <c r="BT166" s="935"/>
    </row>
    <row r="167" spans="1:72" x14ac:dyDescent="0.25">
      <c r="A167" s="935" t="s">
        <v>617</v>
      </c>
      <c r="B167" s="935">
        <v>23.31</v>
      </c>
      <c r="C167" s="935">
        <v>29.93</v>
      </c>
      <c r="D167" s="935">
        <v>25.58</v>
      </c>
      <c r="E167" s="935">
        <v>24.61</v>
      </c>
      <c r="F167" s="935">
        <v>25.02</v>
      </c>
      <c r="G167" s="935">
        <v>26.61</v>
      </c>
      <c r="H167" s="935">
        <v>28.36</v>
      </c>
      <c r="I167" s="935">
        <v>29.9</v>
      </c>
      <c r="J167" s="935">
        <v>31.07</v>
      </c>
      <c r="K167" s="935">
        <v>32.36</v>
      </c>
      <c r="L167" s="935">
        <v>33.58</v>
      </c>
      <c r="M167" s="935">
        <v>34.89</v>
      </c>
      <c r="N167" s="935">
        <v>35.840000000000003</v>
      </c>
      <c r="O167" s="935">
        <v>36.82</v>
      </c>
      <c r="P167" s="935">
        <v>37.89</v>
      </c>
      <c r="Q167" s="935">
        <v>38.979999999999997</v>
      </c>
      <c r="R167" s="935">
        <v>40.17</v>
      </c>
      <c r="S167" s="935">
        <v>41.36</v>
      </c>
      <c r="T167" s="935">
        <v>42.56</v>
      </c>
      <c r="U167" s="935">
        <v>43.64</v>
      </c>
      <c r="V167" s="935">
        <v>44.94</v>
      </c>
      <c r="W167" s="935">
        <v>46.27</v>
      </c>
      <c r="X167" s="935">
        <v>47.79</v>
      </c>
      <c r="Y167" s="935">
        <v>49.17</v>
      </c>
      <c r="Z167" s="935">
        <v>50.81</v>
      </c>
      <c r="AA167" s="935">
        <v>52.46</v>
      </c>
      <c r="AB167" s="935">
        <v>54.21</v>
      </c>
      <c r="AC167" s="935">
        <v>55.95</v>
      </c>
      <c r="AD167" s="935">
        <v>57.77</v>
      </c>
      <c r="AE167" s="974">
        <v>2.5000000000000001E-2</v>
      </c>
      <c r="AF167" s="935"/>
      <c r="AG167" s="935"/>
      <c r="AH167" s="935"/>
      <c r="AI167" s="935"/>
      <c r="AJ167" s="935"/>
      <c r="AK167" s="935"/>
      <c r="AL167" s="935"/>
      <c r="AM167" s="935"/>
      <c r="AN167" s="935"/>
      <c r="AO167" s="935"/>
      <c r="AP167" s="935"/>
      <c r="AQ167" s="935"/>
      <c r="AR167" s="935"/>
      <c r="AS167" s="935"/>
      <c r="AT167" s="935"/>
      <c r="AU167" s="935"/>
      <c r="AV167" s="935"/>
      <c r="AW167" s="935"/>
      <c r="AX167" s="935"/>
      <c r="AY167" s="935"/>
      <c r="AZ167" s="935"/>
      <c r="BA167" s="935"/>
      <c r="BB167" s="935"/>
      <c r="BC167" s="935"/>
      <c r="BD167" s="935"/>
      <c r="BE167" s="935"/>
      <c r="BF167" s="935"/>
      <c r="BG167" s="935"/>
      <c r="BH167" s="935"/>
      <c r="BI167" s="935"/>
      <c r="BJ167" s="935"/>
      <c r="BK167" s="935"/>
      <c r="BL167" s="935"/>
      <c r="BM167" s="935"/>
      <c r="BN167" s="935"/>
      <c r="BO167" s="935"/>
      <c r="BP167" s="935"/>
      <c r="BQ167" s="935"/>
      <c r="BR167" s="935"/>
      <c r="BS167" s="935"/>
      <c r="BT167" s="935"/>
    </row>
    <row r="168" spans="1:72" x14ac:dyDescent="0.25">
      <c r="A168" s="935" t="s">
        <v>618</v>
      </c>
      <c r="B168" s="935">
        <v>26.83</v>
      </c>
      <c r="C168" s="935">
        <v>26.93</v>
      </c>
      <c r="D168" s="935">
        <v>23.64</v>
      </c>
      <c r="E168" s="935">
        <v>21.26</v>
      </c>
      <c r="F168" s="935">
        <v>21.89</v>
      </c>
      <c r="G168" s="935">
        <v>23.43</v>
      </c>
      <c r="H168" s="935">
        <v>26.07</v>
      </c>
      <c r="I168" s="935">
        <v>27.64</v>
      </c>
      <c r="J168" s="935">
        <v>28.47</v>
      </c>
      <c r="K168" s="935">
        <v>28.45</v>
      </c>
      <c r="L168" s="935">
        <v>29.92</v>
      </c>
      <c r="M168" s="935">
        <v>31.23</v>
      </c>
      <c r="N168" s="935">
        <v>31.97</v>
      </c>
      <c r="O168" s="935">
        <v>32.94</v>
      </c>
      <c r="P168" s="935">
        <v>34.090000000000003</v>
      </c>
      <c r="Q168" s="935">
        <v>35.479999999999997</v>
      </c>
      <c r="R168" s="935">
        <v>36.880000000000003</v>
      </c>
      <c r="S168" s="935">
        <v>37.979999999999997</v>
      </c>
      <c r="T168" s="935">
        <v>39.17</v>
      </c>
      <c r="U168" s="935">
        <v>40.479999999999997</v>
      </c>
      <c r="V168" s="935">
        <v>41.72</v>
      </c>
      <c r="W168" s="935">
        <v>43.4</v>
      </c>
      <c r="X168" s="935">
        <v>44.96</v>
      </c>
      <c r="Y168" s="935">
        <v>46.25</v>
      </c>
      <c r="Z168" s="935">
        <v>47.62</v>
      </c>
      <c r="AA168" s="935">
        <v>49.36</v>
      </c>
      <c r="AB168" s="935">
        <v>50.75</v>
      </c>
      <c r="AC168" s="935">
        <v>52.29</v>
      </c>
      <c r="AD168" s="935">
        <v>54.17</v>
      </c>
      <c r="AE168" s="974">
        <v>2.5999999999999999E-2</v>
      </c>
      <c r="AF168" s="935"/>
      <c r="AG168" s="935"/>
      <c r="AH168" s="935"/>
      <c r="AI168" s="935"/>
      <c r="AJ168" s="935"/>
      <c r="AK168" s="935"/>
      <c r="AL168" s="935"/>
      <c r="AM168" s="935"/>
      <c r="AN168" s="935"/>
      <c r="AO168" s="935"/>
      <c r="AP168" s="935"/>
      <c r="AQ168" s="935"/>
      <c r="AR168" s="935"/>
      <c r="AS168" s="935"/>
      <c r="AT168" s="935"/>
      <c r="AU168" s="935"/>
      <c r="AV168" s="935"/>
      <c r="AW168" s="935"/>
      <c r="AX168" s="935"/>
      <c r="AY168" s="935"/>
      <c r="AZ168" s="935"/>
      <c r="BA168" s="935"/>
      <c r="BB168" s="935"/>
      <c r="BC168" s="935"/>
      <c r="BD168" s="935"/>
      <c r="BE168" s="935"/>
      <c r="BF168" s="935"/>
      <c r="BG168" s="935"/>
      <c r="BH168" s="935"/>
      <c r="BI168" s="935"/>
      <c r="BJ168" s="935"/>
      <c r="BK168" s="935"/>
      <c r="BL168" s="935"/>
      <c r="BM168" s="935"/>
      <c r="BN168" s="935"/>
      <c r="BO168" s="935"/>
      <c r="BP168" s="935"/>
      <c r="BQ168" s="935"/>
      <c r="BR168" s="935"/>
      <c r="BS168" s="935"/>
      <c r="BT168" s="935"/>
    </row>
    <row r="169" spans="1:72" x14ac:dyDescent="0.25">
      <c r="A169" s="935" t="s">
        <v>619</v>
      </c>
      <c r="B169" s="935">
        <v>23.15</v>
      </c>
      <c r="C169" s="935">
        <v>26.76</v>
      </c>
      <c r="D169" s="935">
        <v>19.43</v>
      </c>
      <c r="E169" s="935">
        <v>21.17</v>
      </c>
      <c r="F169" s="935">
        <v>21.79</v>
      </c>
      <c r="G169" s="935">
        <v>23.32</v>
      </c>
      <c r="H169" s="935">
        <v>25.87</v>
      </c>
      <c r="I169" s="935">
        <v>27.33</v>
      </c>
      <c r="J169" s="935">
        <v>28.27</v>
      </c>
      <c r="K169" s="935">
        <v>29.42</v>
      </c>
      <c r="L169" s="935">
        <v>30.58</v>
      </c>
      <c r="M169" s="935">
        <v>31.65</v>
      </c>
      <c r="N169" s="935">
        <v>32.6</v>
      </c>
      <c r="O169" s="935">
        <v>33.72</v>
      </c>
      <c r="P169" s="935">
        <v>34.72</v>
      </c>
      <c r="Q169" s="935">
        <v>35.94</v>
      </c>
      <c r="R169" s="935">
        <v>37.020000000000003</v>
      </c>
      <c r="S169" s="935">
        <v>37.96</v>
      </c>
      <c r="T169" s="935">
        <v>39.18</v>
      </c>
      <c r="U169" s="935">
        <v>40.44</v>
      </c>
      <c r="V169" s="935">
        <v>41.69</v>
      </c>
      <c r="W169" s="935">
        <v>43.21</v>
      </c>
      <c r="X169" s="935">
        <v>44.7</v>
      </c>
      <c r="Y169" s="935">
        <v>45.91</v>
      </c>
      <c r="Z169" s="935">
        <v>47.47</v>
      </c>
      <c r="AA169" s="935">
        <v>49.16</v>
      </c>
      <c r="AB169" s="935">
        <v>50.66</v>
      </c>
      <c r="AC169" s="935">
        <v>52.36</v>
      </c>
      <c r="AD169" s="935">
        <v>54.33</v>
      </c>
      <c r="AE169" s="974">
        <v>2.7E-2</v>
      </c>
      <c r="AF169" s="935"/>
      <c r="AG169" s="935"/>
      <c r="AH169" s="935"/>
      <c r="AI169" s="935"/>
      <c r="AJ169" s="935"/>
      <c r="AK169" s="935"/>
      <c r="AL169" s="935"/>
      <c r="AM169" s="935"/>
      <c r="AN169" s="935"/>
      <c r="AO169" s="935"/>
      <c r="AP169" s="935"/>
      <c r="AQ169" s="935"/>
      <c r="AR169" s="935"/>
      <c r="AS169" s="935"/>
      <c r="AT169" s="935"/>
      <c r="AU169" s="935"/>
      <c r="AV169" s="935"/>
      <c r="AW169" s="935"/>
      <c r="AX169" s="935"/>
      <c r="AY169" s="935"/>
      <c r="AZ169" s="935"/>
      <c r="BA169" s="935"/>
      <c r="BB169" s="935"/>
      <c r="BC169" s="935"/>
      <c r="BD169" s="935"/>
      <c r="BE169" s="935"/>
      <c r="BF169" s="935"/>
      <c r="BG169" s="935"/>
      <c r="BH169" s="935"/>
      <c r="BI169" s="935"/>
      <c r="BJ169" s="935"/>
      <c r="BK169" s="935"/>
      <c r="BL169" s="935"/>
      <c r="BM169" s="935"/>
      <c r="BN169" s="935"/>
      <c r="BO169" s="935"/>
      <c r="BP169" s="935"/>
      <c r="BQ169" s="935"/>
      <c r="BR169" s="935"/>
      <c r="BS169" s="935"/>
      <c r="BT169" s="935"/>
    </row>
    <row r="170" spans="1:72" x14ac:dyDescent="0.25">
      <c r="A170" s="935" t="s">
        <v>620</v>
      </c>
      <c r="B170" s="935">
        <v>15.42</v>
      </c>
      <c r="C170" s="935">
        <v>22.71</v>
      </c>
      <c r="D170" s="935">
        <v>12.92</v>
      </c>
      <c r="E170" s="935">
        <v>15.23</v>
      </c>
      <c r="F170" s="935">
        <v>15.82</v>
      </c>
      <c r="G170" s="935">
        <v>17.510000000000002</v>
      </c>
      <c r="H170" s="935">
        <v>19.05</v>
      </c>
      <c r="I170" s="935">
        <v>20.23</v>
      </c>
      <c r="J170" s="935">
        <v>21.21</v>
      </c>
      <c r="K170" s="935">
        <v>22.42</v>
      </c>
      <c r="L170" s="935">
        <v>23.58</v>
      </c>
      <c r="M170" s="935">
        <v>24.67</v>
      </c>
      <c r="N170" s="935">
        <v>25.58</v>
      </c>
      <c r="O170" s="935">
        <v>26.51</v>
      </c>
      <c r="P170" s="935">
        <v>27.27</v>
      </c>
      <c r="Q170" s="935">
        <v>28.18</v>
      </c>
      <c r="R170" s="935">
        <v>29.2</v>
      </c>
      <c r="S170" s="935">
        <v>30.07</v>
      </c>
      <c r="T170" s="935">
        <v>31.1</v>
      </c>
      <c r="U170" s="935">
        <v>32.130000000000003</v>
      </c>
      <c r="V170" s="935">
        <v>33.21</v>
      </c>
      <c r="W170" s="935">
        <v>34.54</v>
      </c>
      <c r="X170" s="935">
        <v>35.83</v>
      </c>
      <c r="Y170" s="935">
        <v>36.99</v>
      </c>
      <c r="Z170" s="935">
        <v>38.42</v>
      </c>
      <c r="AA170" s="935">
        <v>39.92</v>
      </c>
      <c r="AB170" s="935">
        <v>41.32</v>
      </c>
      <c r="AC170" s="935">
        <v>42.87</v>
      </c>
      <c r="AD170" s="935">
        <v>44.51</v>
      </c>
      <c r="AE170" s="974">
        <v>2.5000000000000001E-2</v>
      </c>
      <c r="AF170" s="935"/>
      <c r="AG170" s="935"/>
      <c r="AH170" s="935"/>
      <c r="AI170" s="935"/>
      <c r="AJ170" s="935"/>
      <c r="AK170" s="935"/>
      <c r="AL170" s="935"/>
      <c r="AM170" s="935"/>
      <c r="AN170" s="935"/>
      <c r="AO170" s="935"/>
      <c r="AP170" s="935"/>
      <c r="AQ170" s="935"/>
      <c r="AR170" s="935"/>
      <c r="AS170" s="935"/>
      <c r="AT170" s="935"/>
      <c r="AU170" s="935"/>
      <c r="AV170" s="935"/>
      <c r="AW170" s="935"/>
      <c r="AX170" s="935"/>
      <c r="AY170" s="935"/>
      <c r="AZ170" s="935"/>
      <c r="BA170" s="935"/>
      <c r="BB170" s="935"/>
      <c r="BC170" s="935"/>
      <c r="BD170" s="935"/>
      <c r="BE170" s="935"/>
      <c r="BF170" s="935"/>
      <c r="BG170" s="935"/>
      <c r="BH170" s="935"/>
      <c r="BI170" s="935"/>
      <c r="BJ170" s="935"/>
      <c r="BK170" s="935"/>
      <c r="BL170" s="935"/>
      <c r="BM170" s="935"/>
      <c r="BN170" s="935"/>
      <c r="BO170" s="935"/>
      <c r="BP170" s="935"/>
      <c r="BQ170" s="935"/>
      <c r="BR170" s="935"/>
      <c r="BS170" s="935"/>
      <c r="BT170" s="935"/>
    </row>
    <row r="171" spans="1:72" x14ac:dyDescent="0.25">
      <c r="A171" s="935" t="s">
        <v>724</v>
      </c>
      <c r="B171" s="935">
        <v>21.08</v>
      </c>
      <c r="C171" s="935">
        <v>27.65</v>
      </c>
      <c r="D171" s="935">
        <v>18.04</v>
      </c>
      <c r="E171" s="935">
        <v>19.7</v>
      </c>
      <c r="F171" s="935">
        <v>20.149999999999999</v>
      </c>
      <c r="G171" s="935">
        <v>21.71</v>
      </c>
      <c r="H171" s="935">
        <v>23.2</v>
      </c>
      <c r="I171" s="935">
        <v>24.38</v>
      </c>
      <c r="J171" s="935">
        <v>25.56</v>
      </c>
      <c r="K171" s="935">
        <v>26.86</v>
      </c>
      <c r="L171" s="935">
        <v>28.03</v>
      </c>
      <c r="M171" s="935">
        <v>29.31</v>
      </c>
      <c r="N171" s="935">
        <v>30.31</v>
      </c>
      <c r="O171" s="935">
        <v>31.28</v>
      </c>
      <c r="P171" s="935">
        <v>32.19</v>
      </c>
      <c r="Q171" s="935">
        <v>33.32</v>
      </c>
      <c r="R171" s="935">
        <v>34.22</v>
      </c>
      <c r="S171" s="935">
        <v>35.03</v>
      </c>
      <c r="T171" s="935">
        <v>36.130000000000003</v>
      </c>
      <c r="U171" s="935">
        <v>37.17</v>
      </c>
      <c r="V171" s="935">
        <v>38.32</v>
      </c>
      <c r="W171" s="935">
        <v>39.61</v>
      </c>
      <c r="X171" s="935">
        <v>41.05</v>
      </c>
      <c r="Y171" s="935">
        <v>42.2</v>
      </c>
      <c r="Z171" s="935">
        <v>43.79</v>
      </c>
      <c r="AA171" s="935">
        <v>45.41</v>
      </c>
      <c r="AB171" s="935">
        <v>46.88</v>
      </c>
      <c r="AC171" s="935">
        <v>48.53</v>
      </c>
      <c r="AD171" s="935">
        <v>50.35</v>
      </c>
      <c r="AE171" s="974">
        <v>2.1999999999999999E-2</v>
      </c>
      <c r="AF171" s="935"/>
      <c r="AG171" s="935"/>
      <c r="AH171" s="935"/>
      <c r="AI171" s="935"/>
      <c r="AJ171" s="935"/>
      <c r="AK171" s="935"/>
      <c r="AL171" s="935"/>
      <c r="AM171" s="935"/>
      <c r="AN171" s="935"/>
      <c r="AO171" s="935"/>
      <c r="AP171" s="935"/>
      <c r="AQ171" s="935"/>
      <c r="AR171" s="935"/>
      <c r="AS171" s="935"/>
      <c r="AT171" s="935"/>
      <c r="AU171" s="935"/>
      <c r="AV171" s="935"/>
      <c r="AW171" s="935"/>
      <c r="AX171" s="935"/>
      <c r="AY171" s="935"/>
      <c r="AZ171" s="935"/>
      <c r="BA171" s="935"/>
      <c r="BB171" s="935"/>
      <c r="BC171" s="935"/>
      <c r="BD171" s="935"/>
      <c r="BE171" s="935"/>
      <c r="BF171" s="935"/>
      <c r="BG171" s="935"/>
      <c r="BH171" s="935"/>
      <c r="BI171" s="935"/>
      <c r="BJ171" s="935"/>
      <c r="BK171" s="935"/>
      <c r="BL171" s="935"/>
      <c r="BM171" s="935"/>
      <c r="BN171" s="935"/>
      <c r="BO171" s="935"/>
      <c r="BP171" s="935"/>
      <c r="BQ171" s="935"/>
      <c r="BR171" s="935"/>
      <c r="BS171" s="935"/>
      <c r="BT171" s="935"/>
    </row>
    <row r="172" spans="1:72" x14ac:dyDescent="0.25">
      <c r="A172" s="935" t="s">
        <v>611</v>
      </c>
      <c r="B172" s="935">
        <v>8.99</v>
      </c>
      <c r="C172" s="935">
        <v>14.49</v>
      </c>
      <c r="D172" s="935">
        <v>9</v>
      </c>
      <c r="E172" s="935">
        <v>10.51</v>
      </c>
      <c r="F172" s="935">
        <v>10.77</v>
      </c>
      <c r="G172" s="935">
        <v>12.17</v>
      </c>
      <c r="H172" s="935">
        <v>13.4</v>
      </c>
      <c r="I172" s="935">
        <v>14.45</v>
      </c>
      <c r="J172" s="935">
        <v>15.13</v>
      </c>
      <c r="K172" s="935">
        <v>15.77</v>
      </c>
      <c r="L172" s="935">
        <v>16.670000000000002</v>
      </c>
      <c r="M172" s="935">
        <v>17.43</v>
      </c>
      <c r="N172" s="935">
        <v>17.940000000000001</v>
      </c>
      <c r="O172" s="935">
        <v>18.32</v>
      </c>
      <c r="P172" s="935">
        <v>19</v>
      </c>
      <c r="Q172" s="935">
        <v>19.57</v>
      </c>
      <c r="R172" s="935">
        <v>20.260000000000002</v>
      </c>
      <c r="S172" s="935">
        <v>20.94</v>
      </c>
      <c r="T172" s="935">
        <v>21.63</v>
      </c>
      <c r="U172" s="935">
        <v>22.13</v>
      </c>
      <c r="V172" s="935">
        <v>23.02</v>
      </c>
      <c r="W172" s="935">
        <v>23.85</v>
      </c>
      <c r="X172" s="935">
        <v>24.8</v>
      </c>
      <c r="Y172" s="935">
        <v>25.81</v>
      </c>
      <c r="Z172" s="935">
        <v>26.88</v>
      </c>
      <c r="AA172" s="935">
        <v>27.91</v>
      </c>
      <c r="AB172" s="935">
        <v>28.9</v>
      </c>
      <c r="AC172" s="935">
        <v>30.02</v>
      </c>
      <c r="AD172" s="935">
        <v>31.26</v>
      </c>
      <c r="AE172" s="974">
        <v>2.9000000000000001E-2</v>
      </c>
      <c r="AF172" s="935"/>
      <c r="AG172" s="935"/>
      <c r="AH172" s="935"/>
      <c r="AI172" s="935"/>
      <c r="AJ172" s="935"/>
      <c r="AK172" s="935"/>
      <c r="AL172" s="935"/>
      <c r="AM172" s="935"/>
      <c r="AN172" s="935"/>
      <c r="AO172" s="935"/>
      <c r="AP172" s="935"/>
      <c r="AQ172" s="935"/>
      <c r="AR172" s="935"/>
      <c r="AS172" s="935"/>
      <c r="AT172" s="935"/>
      <c r="AU172" s="935"/>
      <c r="AV172" s="935"/>
      <c r="AW172" s="935"/>
      <c r="AX172" s="935"/>
      <c r="AY172" s="935"/>
      <c r="AZ172" s="935"/>
      <c r="BA172" s="935"/>
      <c r="BB172" s="935"/>
      <c r="BC172" s="935"/>
      <c r="BD172" s="935"/>
      <c r="BE172" s="935"/>
      <c r="BF172" s="935"/>
      <c r="BG172" s="935"/>
      <c r="BH172" s="935"/>
      <c r="BI172" s="935"/>
      <c r="BJ172" s="935"/>
      <c r="BK172" s="935"/>
      <c r="BL172" s="935"/>
      <c r="BM172" s="935"/>
      <c r="BN172" s="935"/>
      <c r="BO172" s="935"/>
      <c r="BP172" s="935"/>
      <c r="BQ172" s="935"/>
      <c r="BR172" s="935"/>
      <c r="BS172" s="935"/>
      <c r="BT172" s="935"/>
    </row>
    <row r="173" spans="1:72" x14ac:dyDescent="0.25">
      <c r="A173" s="935" t="s">
        <v>622</v>
      </c>
      <c r="B173" s="935">
        <v>13.54</v>
      </c>
      <c r="C173" s="935">
        <v>15.96</v>
      </c>
      <c r="D173" s="935">
        <v>11.54</v>
      </c>
      <c r="E173" s="935">
        <v>12.36</v>
      </c>
      <c r="F173" s="935">
        <v>13.66</v>
      </c>
      <c r="G173" s="935">
        <v>14.28</v>
      </c>
      <c r="H173" s="935">
        <v>14.39</v>
      </c>
      <c r="I173" s="935">
        <v>14.52</v>
      </c>
      <c r="J173" s="935">
        <v>14.9</v>
      </c>
      <c r="K173" s="935">
        <v>15.21</v>
      </c>
      <c r="L173" s="935">
        <v>15.46</v>
      </c>
      <c r="M173" s="935">
        <v>15.74</v>
      </c>
      <c r="N173" s="935">
        <v>16.04</v>
      </c>
      <c r="O173" s="935">
        <v>16.43</v>
      </c>
      <c r="P173" s="935">
        <v>16.8</v>
      </c>
      <c r="Q173" s="935">
        <v>17.32</v>
      </c>
      <c r="R173" s="935">
        <v>17.64</v>
      </c>
      <c r="S173" s="935">
        <v>17.829999999999998</v>
      </c>
      <c r="T173" s="935">
        <v>18.23</v>
      </c>
      <c r="U173" s="935">
        <v>18.760000000000002</v>
      </c>
      <c r="V173" s="935">
        <v>19.309999999999999</v>
      </c>
      <c r="W173" s="935">
        <v>19.98</v>
      </c>
      <c r="X173" s="935">
        <v>20.67</v>
      </c>
      <c r="Y173" s="935">
        <v>21.42</v>
      </c>
      <c r="Z173" s="935">
        <v>22.31</v>
      </c>
      <c r="AA173" s="935">
        <v>22.94</v>
      </c>
      <c r="AB173" s="935">
        <v>23.44</v>
      </c>
      <c r="AC173" s="935">
        <v>24.19</v>
      </c>
      <c r="AD173" s="935">
        <v>24.84</v>
      </c>
      <c r="AE173" s="974">
        <v>1.7000000000000001E-2</v>
      </c>
      <c r="AF173" s="935"/>
      <c r="AG173" s="935"/>
      <c r="AH173" s="935"/>
      <c r="AI173" s="935"/>
      <c r="AJ173" s="935"/>
      <c r="AK173" s="935"/>
      <c r="AL173" s="935"/>
      <c r="AM173" s="935"/>
      <c r="AN173" s="935"/>
      <c r="AO173" s="935"/>
      <c r="AP173" s="935"/>
      <c r="AQ173" s="935"/>
      <c r="AR173" s="935"/>
      <c r="AS173" s="935"/>
      <c r="AT173" s="935"/>
      <c r="AU173" s="935"/>
      <c r="AV173" s="935"/>
      <c r="AW173" s="935"/>
      <c r="AX173" s="935"/>
      <c r="AY173" s="935"/>
      <c r="AZ173" s="935"/>
      <c r="BA173" s="935"/>
      <c r="BB173" s="935"/>
      <c r="BC173" s="935"/>
      <c r="BD173" s="935"/>
      <c r="BE173" s="935"/>
      <c r="BF173" s="935"/>
      <c r="BG173" s="935"/>
      <c r="BH173" s="935"/>
      <c r="BI173" s="935"/>
      <c r="BJ173" s="935"/>
      <c r="BK173" s="935"/>
      <c r="BL173" s="935"/>
      <c r="BM173" s="935"/>
      <c r="BN173" s="935"/>
      <c r="BO173" s="935"/>
      <c r="BP173" s="935"/>
      <c r="BQ173" s="935"/>
      <c r="BR173" s="935"/>
      <c r="BS173" s="935"/>
      <c r="BT173" s="935"/>
    </row>
    <row r="174" spans="1:72" x14ac:dyDescent="0.25">
      <c r="A174" s="935" t="s">
        <v>479</v>
      </c>
      <c r="B174" s="935">
        <v>31.32</v>
      </c>
      <c r="C174" s="935">
        <v>33.729999999999997</v>
      </c>
      <c r="D174" s="935">
        <v>32.79</v>
      </c>
      <c r="E174" s="935">
        <v>31.2</v>
      </c>
      <c r="F174" s="935">
        <v>28.83</v>
      </c>
      <c r="G174" s="935">
        <v>31.39</v>
      </c>
      <c r="H174" s="935">
        <v>32.01</v>
      </c>
      <c r="I174" s="935">
        <v>31.85</v>
      </c>
      <c r="J174" s="935">
        <v>32.08</v>
      </c>
      <c r="K174" s="935">
        <v>32.909999999999997</v>
      </c>
      <c r="L174" s="935">
        <v>33.549999999999997</v>
      </c>
      <c r="M174" s="935">
        <v>33.97</v>
      </c>
      <c r="N174" s="935">
        <v>34.26</v>
      </c>
      <c r="O174" s="935">
        <v>34.89</v>
      </c>
      <c r="P174" s="935">
        <v>35.61</v>
      </c>
      <c r="Q174" s="935">
        <v>36.26</v>
      </c>
      <c r="R174" s="935">
        <v>37.11</v>
      </c>
      <c r="S174" s="935">
        <v>38.1</v>
      </c>
      <c r="T174" s="935">
        <v>38.86</v>
      </c>
      <c r="U174" s="935">
        <v>40</v>
      </c>
      <c r="V174" s="935">
        <v>41.47</v>
      </c>
      <c r="W174" s="935">
        <v>43.05</v>
      </c>
      <c r="X174" s="935">
        <v>45.05</v>
      </c>
      <c r="Y174" s="935">
        <v>46.8</v>
      </c>
      <c r="Z174" s="935">
        <v>48.78</v>
      </c>
      <c r="AA174" s="935">
        <v>50.72</v>
      </c>
      <c r="AB174" s="935">
        <v>52.33</v>
      </c>
      <c r="AC174" s="935">
        <v>54.13</v>
      </c>
      <c r="AD174" s="935">
        <v>55.89</v>
      </c>
      <c r="AE174" s="974">
        <v>1.9E-2</v>
      </c>
      <c r="AF174" s="935"/>
      <c r="AG174" s="935"/>
      <c r="AH174" s="935"/>
      <c r="AI174" s="935"/>
      <c r="AJ174" s="935"/>
      <c r="AK174" s="935"/>
      <c r="AL174" s="935"/>
      <c r="AM174" s="935"/>
      <c r="AN174" s="935"/>
      <c r="AO174" s="935"/>
      <c r="AP174" s="935"/>
      <c r="AQ174" s="935"/>
      <c r="AR174" s="935"/>
      <c r="AS174" s="935"/>
      <c r="AT174" s="935"/>
      <c r="AU174" s="935"/>
      <c r="AV174" s="935"/>
      <c r="AW174" s="935"/>
      <c r="AX174" s="935"/>
      <c r="AY174" s="935"/>
      <c r="AZ174" s="935"/>
      <c r="BA174" s="935"/>
      <c r="BB174" s="935"/>
      <c r="BC174" s="935"/>
      <c r="BD174" s="935"/>
      <c r="BE174" s="935"/>
      <c r="BF174" s="935"/>
      <c r="BG174" s="935"/>
      <c r="BH174" s="935"/>
      <c r="BI174" s="935"/>
      <c r="BJ174" s="935"/>
      <c r="BK174" s="935"/>
      <c r="BL174" s="935"/>
      <c r="BM174" s="935"/>
      <c r="BN174" s="935"/>
      <c r="BO174" s="935"/>
      <c r="BP174" s="935"/>
      <c r="BQ174" s="935"/>
      <c r="BR174" s="935"/>
      <c r="BS174" s="935"/>
      <c r="BT174" s="935"/>
    </row>
    <row r="175" spans="1:72" x14ac:dyDescent="0.25">
      <c r="A175" s="935"/>
      <c r="B175" s="935"/>
      <c r="C175" s="935"/>
      <c r="D175" s="935"/>
      <c r="E175" s="935"/>
      <c r="F175" s="935"/>
      <c r="G175" s="935"/>
      <c r="H175" s="935"/>
      <c r="I175" s="935"/>
      <c r="J175" s="935"/>
      <c r="K175" s="935"/>
      <c r="L175" s="935"/>
      <c r="M175" s="935"/>
      <c r="N175" s="935"/>
      <c r="O175" s="935"/>
      <c r="P175" s="935"/>
      <c r="Q175" s="935"/>
      <c r="R175" s="935"/>
      <c r="S175" s="935"/>
      <c r="T175" s="935"/>
      <c r="U175" s="935"/>
      <c r="V175" s="935"/>
      <c r="W175" s="935"/>
      <c r="X175" s="935"/>
      <c r="Y175" s="935"/>
      <c r="Z175" s="935"/>
      <c r="AA175" s="935"/>
      <c r="AB175" s="935"/>
      <c r="AC175" s="935"/>
      <c r="AD175" s="935"/>
      <c r="AE175" s="935"/>
      <c r="AF175" s="935"/>
      <c r="AG175" s="935"/>
      <c r="AH175" s="935"/>
      <c r="AI175" s="935"/>
      <c r="AJ175" s="935"/>
      <c r="AK175" s="935"/>
      <c r="AL175" s="935"/>
      <c r="AM175" s="935"/>
      <c r="AN175" s="935"/>
      <c r="AO175" s="935"/>
      <c r="AP175" s="935"/>
      <c r="AQ175" s="935"/>
      <c r="AR175" s="935"/>
      <c r="AS175" s="935"/>
      <c r="AT175" s="935"/>
      <c r="AU175" s="935"/>
      <c r="AV175" s="935"/>
      <c r="AW175" s="935"/>
      <c r="AX175" s="935"/>
      <c r="AY175" s="935"/>
      <c r="AZ175" s="935"/>
      <c r="BA175" s="935"/>
      <c r="BB175" s="935"/>
      <c r="BC175" s="935"/>
      <c r="BD175" s="935"/>
      <c r="BE175" s="935"/>
      <c r="BF175" s="935"/>
      <c r="BG175" s="935"/>
      <c r="BH175" s="935"/>
      <c r="BI175" s="935"/>
      <c r="BJ175" s="935"/>
      <c r="BK175" s="935"/>
      <c r="BL175" s="935"/>
      <c r="BM175" s="935"/>
      <c r="BN175" s="935"/>
      <c r="BO175" s="935"/>
      <c r="BP175" s="935"/>
      <c r="BQ175" s="935"/>
      <c r="BR175" s="935"/>
      <c r="BS175" s="935"/>
      <c r="BT175" s="935"/>
    </row>
    <row r="176" spans="1:72" x14ac:dyDescent="0.25">
      <c r="A176" s="935" t="s">
        <v>623</v>
      </c>
      <c r="B176" s="935"/>
      <c r="C176" s="935"/>
      <c r="D176" s="935"/>
      <c r="E176" s="935"/>
      <c r="F176" s="935"/>
      <c r="G176" s="935"/>
      <c r="H176" s="935"/>
      <c r="I176" s="935"/>
      <c r="J176" s="935"/>
      <c r="K176" s="935"/>
      <c r="L176" s="935"/>
      <c r="M176" s="935"/>
      <c r="N176" s="935"/>
      <c r="O176" s="935"/>
      <c r="P176" s="935"/>
      <c r="Q176" s="935"/>
      <c r="R176" s="935"/>
      <c r="S176" s="935"/>
      <c r="T176" s="935"/>
      <c r="U176" s="935"/>
      <c r="V176" s="935"/>
      <c r="W176" s="935"/>
      <c r="X176" s="935"/>
      <c r="Y176" s="935"/>
      <c r="Z176" s="935"/>
      <c r="AA176" s="935"/>
      <c r="AB176" s="935"/>
      <c r="AC176" s="935"/>
      <c r="AD176" s="935"/>
      <c r="AE176" s="935"/>
      <c r="AF176" s="935"/>
      <c r="AG176" s="935"/>
      <c r="AH176" s="935"/>
      <c r="AI176" s="935"/>
      <c r="AJ176" s="935"/>
      <c r="AK176" s="935"/>
      <c r="AL176" s="935"/>
      <c r="AM176" s="935"/>
      <c r="AN176" s="935"/>
      <c r="AO176" s="935"/>
      <c r="AP176" s="935"/>
      <c r="AQ176" s="935"/>
      <c r="AR176" s="935"/>
      <c r="AS176" s="935"/>
      <c r="AT176" s="935"/>
      <c r="AU176" s="935"/>
      <c r="AV176" s="935"/>
      <c r="AW176" s="935"/>
      <c r="AX176" s="935"/>
      <c r="AY176" s="935"/>
      <c r="AZ176" s="935"/>
      <c r="BA176" s="935"/>
      <c r="BB176" s="935"/>
      <c r="BC176" s="935"/>
      <c r="BD176" s="935"/>
      <c r="BE176" s="935"/>
      <c r="BF176" s="935"/>
      <c r="BG176" s="935"/>
      <c r="BH176" s="935"/>
      <c r="BI176" s="935"/>
      <c r="BJ176" s="935"/>
      <c r="BK176" s="935"/>
      <c r="BL176" s="935"/>
      <c r="BM176" s="935"/>
      <c r="BN176" s="935"/>
      <c r="BO176" s="935"/>
      <c r="BP176" s="935"/>
      <c r="BQ176" s="935"/>
      <c r="BR176" s="935"/>
      <c r="BS176" s="935"/>
      <c r="BT176" s="935"/>
    </row>
    <row r="177" spans="1:72" x14ac:dyDescent="0.25">
      <c r="A177" s="935" t="s">
        <v>610</v>
      </c>
      <c r="B177" s="935">
        <v>15.41</v>
      </c>
      <c r="C177" s="935">
        <v>19.37</v>
      </c>
      <c r="D177" s="935">
        <v>14.46</v>
      </c>
      <c r="E177" s="935">
        <v>14.33</v>
      </c>
      <c r="F177" s="935">
        <v>14.68</v>
      </c>
      <c r="G177" s="935">
        <v>16.09</v>
      </c>
      <c r="H177" s="935">
        <v>17.46</v>
      </c>
      <c r="I177" s="935">
        <v>18.510000000000002</v>
      </c>
      <c r="J177" s="935">
        <v>19.350000000000001</v>
      </c>
      <c r="K177" s="935">
        <v>20.67</v>
      </c>
      <c r="L177" s="935">
        <v>21.81</v>
      </c>
      <c r="M177" s="935">
        <v>22.96</v>
      </c>
      <c r="N177" s="935">
        <v>23.88</v>
      </c>
      <c r="O177" s="935">
        <v>24.75</v>
      </c>
      <c r="P177" s="935">
        <v>25.46</v>
      </c>
      <c r="Q177" s="935">
        <v>26.24</v>
      </c>
      <c r="R177" s="935">
        <v>27.22</v>
      </c>
      <c r="S177" s="935">
        <v>28.03</v>
      </c>
      <c r="T177" s="935">
        <v>28.98</v>
      </c>
      <c r="U177" s="935">
        <v>29.93</v>
      </c>
      <c r="V177" s="935">
        <v>30.88</v>
      </c>
      <c r="W177" s="935">
        <v>32</v>
      </c>
      <c r="X177" s="935">
        <v>33.28</v>
      </c>
      <c r="Y177" s="935">
        <v>34.28</v>
      </c>
      <c r="Z177" s="935">
        <v>35.71</v>
      </c>
      <c r="AA177" s="935">
        <v>37.130000000000003</v>
      </c>
      <c r="AB177" s="935">
        <v>38.46</v>
      </c>
      <c r="AC177" s="935">
        <v>39.950000000000003</v>
      </c>
      <c r="AD177" s="935">
        <v>41.52</v>
      </c>
      <c r="AE177" s="974">
        <v>2.9000000000000001E-2</v>
      </c>
      <c r="AF177" s="935"/>
      <c r="AG177" s="935"/>
      <c r="AH177" s="935"/>
      <c r="AI177" s="935"/>
      <c r="AJ177" s="935"/>
      <c r="AK177" s="935"/>
      <c r="AL177" s="935"/>
      <c r="AM177" s="935"/>
      <c r="AN177" s="935"/>
      <c r="AO177" s="935"/>
      <c r="AP177" s="935"/>
      <c r="AQ177" s="935"/>
      <c r="AR177" s="935"/>
      <c r="AS177" s="935"/>
      <c r="AT177" s="935"/>
      <c r="AU177" s="935"/>
      <c r="AV177" s="935"/>
      <c r="AW177" s="935"/>
      <c r="AX177" s="935"/>
      <c r="AY177" s="935"/>
      <c r="AZ177" s="935"/>
      <c r="BA177" s="935"/>
      <c r="BB177" s="935"/>
      <c r="BC177" s="935"/>
      <c r="BD177" s="935"/>
      <c r="BE177" s="935"/>
      <c r="BF177" s="935"/>
      <c r="BG177" s="935"/>
      <c r="BH177" s="935"/>
      <c r="BI177" s="935"/>
      <c r="BJ177" s="935"/>
      <c r="BK177" s="935"/>
      <c r="BL177" s="935"/>
      <c r="BM177" s="935"/>
      <c r="BN177" s="935"/>
      <c r="BO177" s="935"/>
      <c r="BP177" s="935"/>
      <c r="BQ177" s="935"/>
      <c r="BR177" s="935"/>
      <c r="BS177" s="935"/>
      <c r="BT177" s="935"/>
    </row>
    <row r="178" spans="1:72" x14ac:dyDescent="0.25">
      <c r="A178" s="935" t="s">
        <v>611</v>
      </c>
      <c r="B178" s="935">
        <v>8.84</v>
      </c>
      <c r="C178" s="935">
        <v>14.56</v>
      </c>
      <c r="D178" s="935">
        <v>8.92</v>
      </c>
      <c r="E178" s="935">
        <v>12.37</v>
      </c>
      <c r="F178" s="935">
        <v>12.7</v>
      </c>
      <c r="G178" s="935">
        <v>14.13</v>
      </c>
      <c r="H178" s="935">
        <v>15.48</v>
      </c>
      <c r="I178" s="935">
        <v>16.55</v>
      </c>
      <c r="J178" s="935">
        <v>17.3</v>
      </c>
      <c r="K178" s="935">
        <v>18.07</v>
      </c>
      <c r="L178" s="935">
        <v>19.010000000000002</v>
      </c>
      <c r="M178" s="935">
        <v>19.88</v>
      </c>
      <c r="N178" s="935">
        <v>20.54</v>
      </c>
      <c r="O178" s="935">
        <v>21.05</v>
      </c>
      <c r="P178" s="935">
        <v>21.8</v>
      </c>
      <c r="Q178" s="935">
        <v>22.48</v>
      </c>
      <c r="R178" s="935">
        <v>23.26</v>
      </c>
      <c r="S178" s="935">
        <v>24.05</v>
      </c>
      <c r="T178" s="935">
        <v>24.83</v>
      </c>
      <c r="U178" s="935">
        <v>25.46</v>
      </c>
      <c r="V178" s="935">
        <v>26.42</v>
      </c>
      <c r="W178" s="935">
        <v>27.37</v>
      </c>
      <c r="X178" s="935">
        <v>28.4</v>
      </c>
      <c r="Y178" s="935">
        <v>29.5</v>
      </c>
      <c r="Z178" s="935">
        <v>30.7</v>
      </c>
      <c r="AA178" s="935">
        <v>31.85</v>
      </c>
      <c r="AB178" s="935">
        <v>32.92</v>
      </c>
      <c r="AC178" s="935">
        <v>34.19</v>
      </c>
      <c r="AD178" s="935">
        <v>35.49</v>
      </c>
      <c r="AE178" s="974">
        <v>3.4000000000000002E-2</v>
      </c>
      <c r="AF178" s="935"/>
      <c r="AG178" s="935"/>
      <c r="AH178" s="935"/>
      <c r="AI178" s="935"/>
      <c r="AJ178" s="935"/>
      <c r="AK178" s="935"/>
      <c r="AL178" s="935"/>
      <c r="AM178" s="935"/>
      <c r="AN178" s="935"/>
      <c r="AO178" s="935"/>
      <c r="AP178" s="935"/>
      <c r="AQ178" s="935"/>
      <c r="AR178" s="935"/>
      <c r="AS178" s="935"/>
      <c r="AT178" s="935"/>
      <c r="AU178" s="935"/>
      <c r="AV178" s="935"/>
      <c r="AW178" s="935"/>
      <c r="AX178" s="935"/>
      <c r="AY178" s="935"/>
      <c r="AZ178" s="935"/>
      <c r="BA178" s="935"/>
      <c r="BB178" s="935"/>
      <c r="BC178" s="935"/>
      <c r="BD178" s="935"/>
      <c r="BE178" s="935"/>
      <c r="BF178" s="935"/>
      <c r="BG178" s="935"/>
      <c r="BH178" s="935"/>
      <c r="BI178" s="935"/>
      <c r="BJ178" s="935"/>
      <c r="BK178" s="935"/>
      <c r="BL178" s="935"/>
      <c r="BM178" s="935"/>
      <c r="BN178" s="935"/>
      <c r="BO178" s="935"/>
      <c r="BP178" s="935"/>
      <c r="BQ178" s="935"/>
      <c r="BR178" s="935"/>
      <c r="BS178" s="935"/>
      <c r="BT178" s="935"/>
    </row>
    <row r="179" spans="1:72" x14ac:dyDescent="0.25">
      <c r="A179" s="935" t="s">
        <v>510</v>
      </c>
      <c r="B179" s="935">
        <v>7.1</v>
      </c>
      <c r="C179" s="935">
        <v>9.09</v>
      </c>
      <c r="D179" s="935">
        <v>4.2</v>
      </c>
      <c r="E179" s="935">
        <v>4.99</v>
      </c>
      <c r="F179" s="935">
        <v>6.07</v>
      </c>
      <c r="G179" s="935">
        <v>6.53</v>
      </c>
      <c r="H179" s="935">
        <v>6.4</v>
      </c>
      <c r="I179" s="935">
        <v>6.47</v>
      </c>
      <c r="J179" s="935">
        <v>6.77</v>
      </c>
      <c r="K179" s="935">
        <v>6.99</v>
      </c>
      <c r="L179" s="935">
        <v>7.13</v>
      </c>
      <c r="M179" s="935">
        <v>7.32</v>
      </c>
      <c r="N179" s="935">
        <v>7.53</v>
      </c>
      <c r="O179" s="935">
        <v>7.85</v>
      </c>
      <c r="P179" s="935">
        <v>8.1300000000000008</v>
      </c>
      <c r="Q179" s="935">
        <v>8.5399999999999991</v>
      </c>
      <c r="R179" s="935">
        <v>8.7799999999999994</v>
      </c>
      <c r="S179" s="935">
        <v>8.91</v>
      </c>
      <c r="T179" s="935">
        <v>9.17</v>
      </c>
      <c r="U179" s="935">
        <v>9.57</v>
      </c>
      <c r="V179" s="935">
        <v>9.9700000000000006</v>
      </c>
      <c r="W179" s="935">
        <v>10.51</v>
      </c>
      <c r="X179" s="935">
        <v>11.09</v>
      </c>
      <c r="Y179" s="935">
        <v>11.66</v>
      </c>
      <c r="Z179" s="935">
        <v>12.38</v>
      </c>
      <c r="AA179" s="935">
        <v>12.84</v>
      </c>
      <c r="AB179" s="935">
        <v>13.16</v>
      </c>
      <c r="AC179" s="935">
        <v>13.75</v>
      </c>
      <c r="AD179" s="935">
        <v>14.22</v>
      </c>
      <c r="AE179" s="974">
        <v>1.7000000000000001E-2</v>
      </c>
      <c r="AF179" s="935"/>
      <c r="AG179" s="935"/>
      <c r="AH179" s="935"/>
      <c r="AI179" s="935"/>
      <c r="AJ179" s="935"/>
      <c r="AK179" s="935"/>
      <c r="AL179" s="935"/>
      <c r="AM179" s="935"/>
      <c r="AN179" s="935"/>
      <c r="AO179" s="935"/>
      <c r="AP179" s="935"/>
      <c r="AQ179" s="935"/>
      <c r="AR179" s="935"/>
      <c r="AS179" s="935"/>
      <c r="AT179" s="935"/>
      <c r="AU179" s="935"/>
      <c r="AV179" s="935"/>
      <c r="AW179" s="935"/>
      <c r="AX179" s="935"/>
      <c r="AY179" s="935"/>
      <c r="AZ179" s="935"/>
      <c r="BA179" s="935"/>
      <c r="BB179" s="935"/>
      <c r="BC179" s="935"/>
      <c r="BD179" s="935"/>
      <c r="BE179" s="935"/>
      <c r="BF179" s="935"/>
      <c r="BG179" s="935"/>
      <c r="BH179" s="935"/>
      <c r="BI179" s="935"/>
      <c r="BJ179" s="935"/>
      <c r="BK179" s="935"/>
      <c r="BL179" s="935"/>
      <c r="BM179" s="935"/>
      <c r="BN179" s="935"/>
      <c r="BO179" s="935"/>
      <c r="BP179" s="935"/>
      <c r="BQ179" s="935"/>
      <c r="BR179" s="935"/>
      <c r="BS179" s="935"/>
      <c r="BT179" s="935"/>
    </row>
    <row r="180" spans="1:72" x14ac:dyDescent="0.25">
      <c r="A180" s="935" t="s">
        <v>624</v>
      </c>
      <c r="B180" s="935">
        <v>1.76</v>
      </c>
      <c r="C180" s="935">
        <v>2.0499999999999998</v>
      </c>
      <c r="D180" s="935">
        <v>2.1800000000000002</v>
      </c>
      <c r="E180" s="935">
        <v>2.0499999999999998</v>
      </c>
      <c r="F180" s="935">
        <v>2.0699999999999998</v>
      </c>
      <c r="G180" s="935">
        <v>2.1</v>
      </c>
      <c r="H180" s="935">
        <v>2.15</v>
      </c>
      <c r="I180" s="935">
        <v>2.19</v>
      </c>
      <c r="J180" s="935">
        <v>2.2400000000000002</v>
      </c>
      <c r="K180" s="935">
        <v>2.2599999999999998</v>
      </c>
      <c r="L180" s="935">
        <v>2.31</v>
      </c>
      <c r="M180" s="935">
        <v>2.34</v>
      </c>
      <c r="N180" s="935">
        <v>2.38</v>
      </c>
      <c r="O180" s="935">
        <v>2.42</v>
      </c>
      <c r="P180" s="935">
        <v>2.4700000000000002</v>
      </c>
      <c r="Q180" s="935">
        <v>2.54</v>
      </c>
      <c r="R180" s="935">
        <v>2.59</v>
      </c>
      <c r="S180" s="935">
        <v>2.65</v>
      </c>
      <c r="T180" s="935">
        <v>2.69</v>
      </c>
      <c r="U180" s="935">
        <v>2.77</v>
      </c>
      <c r="V180" s="935">
        <v>2.82</v>
      </c>
      <c r="W180" s="935">
        <v>2.9</v>
      </c>
      <c r="X180" s="935">
        <v>2.98</v>
      </c>
      <c r="Y180" s="935">
        <v>3.06</v>
      </c>
      <c r="Z180" s="935">
        <v>3.15</v>
      </c>
      <c r="AA180" s="935">
        <v>3.23</v>
      </c>
      <c r="AB180" s="935">
        <v>3.32</v>
      </c>
      <c r="AC180" s="935">
        <v>3.41</v>
      </c>
      <c r="AD180" s="935">
        <v>3.51</v>
      </c>
      <c r="AE180" s="974">
        <v>0.02</v>
      </c>
      <c r="AF180" s="935"/>
      <c r="AG180" s="935"/>
      <c r="AH180" s="935"/>
      <c r="AI180" s="935"/>
      <c r="AJ180" s="935"/>
      <c r="AK180" s="935"/>
      <c r="AL180" s="935"/>
      <c r="AM180" s="935"/>
      <c r="AN180" s="935"/>
      <c r="AO180" s="935"/>
      <c r="AP180" s="935"/>
      <c r="AQ180" s="935"/>
      <c r="AR180" s="935"/>
      <c r="AS180" s="935"/>
      <c r="AT180" s="935"/>
      <c r="AU180" s="935"/>
      <c r="AV180" s="935"/>
      <c r="AW180" s="935"/>
      <c r="AX180" s="935"/>
      <c r="AY180" s="935"/>
      <c r="AZ180" s="935"/>
      <c r="BA180" s="935"/>
      <c r="BB180" s="935"/>
      <c r="BC180" s="935"/>
      <c r="BD180" s="935"/>
      <c r="BE180" s="935"/>
      <c r="BF180" s="935"/>
      <c r="BG180" s="935"/>
      <c r="BH180" s="935"/>
      <c r="BI180" s="935"/>
      <c r="BJ180" s="935"/>
      <c r="BK180" s="935"/>
      <c r="BL180" s="935"/>
      <c r="BM180" s="935"/>
      <c r="BN180" s="935"/>
      <c r="BO180" s="935"/>
      <c r="BP180" s="935"/>
      <c r="BQ180" s="935"/>
      <c r="BR180" s="935"/>
      <c r="BS180" s="935"/>
      <c r="BT180" s="935"/>
    </row>
    <row r="181" spans="1:72" x14ac:dyDescent="0.25">
      <c r="A181" s="935"/>
      <c r="B181" s="935"/>
      <c r="C181" s="935"/>
      <c r="D181" s="935"/>
      <c r="E181" s="935"/>
      <c r="F181" s="935"/>
      <c r="G181" s="935"/>
      <c r="H181" s="935"/>
      <c r="I181" s="935"/>
      <c r="J181" s="935"/>
      <c r="K181" s="935"/>
      <c r="L181" s="935"/>
      <c r="M181" s="935"/>
      <c r="N181" s="935"/>
      <c r="O181" s="935"/>
      <c r="P181" s="935"/>
      <c r="Q181" s="935"/>
      <c r="R181" s="935"/>
      <c r="S181" s="935"/>
      <c r="T181" s="935"/>
      <c r="U181" s="935"/>
      <c r="V181" s="935"/>
      <c r="W181" s="935"/>
      <c r="X181" s="935"/>
      <c r="Y181" s="935"/>
      <c r="Z181" s="935"/>
      <c r="AA181" s="935"/>
      <c r="AB181" s="935"/>
      <c r="AC181" s="935"/>
      <c r="AD181" s="935"/>
      <c r="AE181" s="935"/>
      <c r="AF181" s="935"/>
      <c r="AG181" s="935"/>
      <c r="AH181" s="935"/>
      <c r="AI181" s="935"/>
      <c r="AJ181" s="935"/>
      <c r="AK181" s="935"/>
      <c r="AL181" s="935"/>
      <c r="AM181" s="935"/>
      <c r="AN181" s="935"/>
      <c r="AO181" s="935"/>
      <c r="AP181" s="935"/>
      <c r="AQ181" s="935"/>
      <c r="AR181" s="935"/>
      <c r="AS181" s="935"/>
      <c r="AT181" s="935"/>
      <c r="AU181" s="935"/>
      <c r="AV181" s="935"/>
      <c r="AW181" s="935"/>
      <c r="AX181" s="935"/>
      <c r="AY181" s="935"/>
      <c r="AZ181" s="935"/>
      <c r="BA181" s="935"/>
      <c r="BB181" s="935"/>
      <c r="BC181" s="935"/>
      <c r="BD181" s="935"/>
      <c r="BE181" s="935"/>
      <c r="BF181" s="935"/>
      <c r="BG181" s="935"/>
      <c r="BH181" s="935"/>
      <c r="BI181" s="935"/>
      <c r="BJ181" s="935"/>
      <c r="BK181" s="935"/>
      <c r="BL181" s="935"/>
      <c r="BM181" s="935"/>
      <c r="BN181" s="935"/>
      <c r="BO181" s="935"/>
      <c r="BP181" s="935"/>
      <c r="BQ181" s="935"/>
      <c r="BR181" s="935"/>
      <c r="BS181" s="935"/>
      <c r="BT181" s="935"/>
    </row>
    <row r="182" spans="1:72" x14ac:dyDescent="0.25">
      <c r="A182" s="935" t="s">
        <v>625</v>
      </c>
      <c r="B182" s="935"/>
      <c r="C182" s="935"/>
      <c r="D182" s="935"/>
      <c r="E182" s="935"/>
      <c r="F182" s="935"/>
      <c r="G182" s="935"/>
      <c r="H182" s="935"/>
      <c r="I182" s="935"/>
      <c r="J182" s="935"/>
      <c r="K182" s="935"/>
      <c r="L182" s="935"/>
      <c r="M182" s="935"/>
      <c r="N182" s="935"/>
      <c r="O182" s="935"/>
      <c r="P182" s="935"/>
      <c r="Q182" s="935"/>
      <c r="R182" s="935"/>
      <c r="S182" s="935"/>
      <c r="T182" s="935"/>
      <c r="U182" s="935"/>
      <c r="V182" s="935"/>
      <c r="W182" s="935"/>
      <c r="X182" s="935"/>
      <c r="Y182" s="935"/>
      <c r="Z182" s="935"/>
      <c r="AA182" s="935"/>
      <c r="AB182" s="935"/>
      <c r="AC182" s="935"/>
      <c r="AD182" s="935"/>
      <c r="AE182" s="935"/>
      <c r="AF182" s="935"/>
      <c r="AG182" s="935"/>
      <c r="AH182" s="935"/>
      <c r="AI182" s="935"/>
      <c r="AJ182" s="935"/>
      <c r="AK182" s="935"/>
      <c r="AL182" s="935"/>
      <c r="AM182" s="935"/>
      <c r="AN182" s="935"/>
      <c r="AO182" s="935"/>
      <c r="AP182" s="935"/>
      <c r="AQ182" s="935"/>
      <c r="AR182" s="935"/>
      <c r="AS182" s="935"/>
      <c r="AT182" s="935"/>
      <c r="AU182" s="935"/>
      <c r="AV182" s="935"/>
      <c r="AW182" s="935"/>
      <c r="AX182" s="935"/>
      <c r="AY182" s="935"/>
      <c r="AZ182" s="935"/>
      <c r="BA182" s="935"/>
      <c r="BB182" s="935"/>
      <c r="BC182" s="935"/>
      <c r="BD182" s="935"/>
      <c r="BE182" s="935"/>
      <c r="BF182" s="935"/>
      <c r="BG182" s="935"/>
      <c r="BH182" s="935"/>
      <c r="BI182" s="935"/>
      <c r="BJ182" s="935"/>
      <c r="BK182" s="935"/>
      <c r="BL182" s="935"/>
      <c r="BM182" s="935"/>
      <c r="BN182" s="935"/>
      <c r="BO182" s="935"/>
      <c r="BP182" s="935"/>
      <c r="BQ182" s="935"/>
      <c r="BR182" s="935"/>
      <c r="BS182" s="935"/>
      <c r="BT182" s="935"/>
    </row>
    <row r="183" spans="1:72" x14ac:dyDescent="0.25">
      <c r="A183" s="935" t="s">
        <v>609</v>
      </c>
      <c r="B183" s="935">
        <v>18.53</v>
      </c>
      <c r="C183" s="935">
        <v>20.190000000000001</v>
      </c>
      <c r="D183" s="935">
        <v>18.64</v>
      </c>
      <c r="E183" s="935">
        <v>17.36</v>
      </c>
      <c r="F183" s="935">
        <v>17.61</v>
      </c>
      <c r="G183" s="935">
        <v>18.920000000000002</v>
      </c>
      <c r="H183" s="935">
        <v>20.43</v>
      </c>
      <c r="I183" s="935">
        <v>21.72</v>
      </c>
      <c r="J183" s="935">
        <v>22.62</v>
      </c>
      <c r="K183" s="935">
        <v>23.64</v>
      </c>
      <c r="L183" s="935">
        <v>24.56</v>
      </c>
      <c r="M183" s="935">
        <v>25.55</v>
      </c>
      <c r="N183" s="935">
        <v>26.28</v>
      </c>
      <c r="O183" s="935">
        <v>27.06</v>
      </c>
      <c r="P183" s="935">
        <v>27.91</v>
      </c>
      <c r="Q183" s="935">
        <v>28.78</v>
      </c>
      <c r="R183" s="935">
        <v>29.75</v>
      </c>
      <c r="S183" s="935">
        <v>30.7</v>
      </c>
      <c r="T183" s="935">
        <v>31.68</v>
      </c>
      <c r="U183" s="935">
        <v>32.54</v>
      </c>
      <c r="V183" s="935">
        <v>33.6</v>
      </c>
      <c r="W183" s="935">
        <v>34.69</v>
      </c>
      <c r="X183" s="935">
        <v>35.950000000000003</v>
      </c>
      <c r="Y183" s="935">
        <v>37.049999999999997</v>
      </c>
      <c r="Z183" s="935">
        <v>38.44</v>
      </c>
      <c r="AA183" s="935">
        <v>39.83</v>
      </c>
      <c r="AB183" s="935">
        <v>41.29</v>
      </c>
      <c r="AC183" s="935">
        <v>42.77</v>
      </c>
      <c r="AD183" s="935">
        <v>44.32</v>
      </c>
      <c r="AE183" s="974">
        <v>0.03</v>
      </c>
      <c r="AF183" s="935"/>
      <c r="AG183" s="935"/>
      <c r="AH183" s="935"/>
      <c r="AI183" s="935"/>
      <c r="AJ183" s="935"/>
      <c r="AK183" s="935"/>
      <c r="AL183" s="935"/>
      <c r="AM183" s="935"/>
      <c r="AN183" s="935"/>
      <c r="AO183" s="935"/>
      <c r="AP183" s="935"/>
      <c r="AQ183" s="935"/>
      <c r="AR183" s="935"/>
      <c r="AS183" s="935"/>
      <c r="AT183" s="935"/>
      <c r="AU183" s="935"/>
      <c r="AV183" s="935"/>
      <c r="AW183" s="935"/>
      <c r="AX183" s="935"/>
      <c r="AY183" s="935"/>
      <c r="AZ183" s="935"/>
      <c r="BA183" s="935"/>
      <c r="BB183" s="935"/>
      <c r="BC183" s="935"/>
      <c r="BD183" s="935"/>
      <c r="BE183" s="935"/>
      <c r="BF183" s="935"/>
      <c r="BG183" s="935"/>
      <c r="BH183" s="935"/>
      <c r="BI183" s="935"/>
      <c r="BJ183" s="935"/>
      <c r="BK183" s="935"/>
      <c r="BL183" s="935"/>
      <c r="BM183" s="935"/>
      <c r="BN183" s="935"/>
      <c r="BO183" s="935"/>
      <c r="BP183" s="935"/>
      <c r="BQ183" s="935"/>
      <c r="BR183" s="935"/>
      <c r="BS183" s="935"/>
      <c r="BT183" s="935"/>
    </row>
    <row r="184" spans="1:72" x14ac:dyDescent="0.25">
      <c r="A184" s="935" t="s">
        <v>618</v>
      </c>
      <c r="B184" s="935">
        <v>26.83</v>
      </c>
      <c r="C184" s="935">
        <v>26.93</v>
      </c>
      <c r="D184" s="935">
        <v>23.64</v>
      </c>
      <c r="E184" s="935">
        <v>21.26</v>
      </c>
      <c r="F184" s="935">
        <v>21.89</v>
      </c>
      <c r="G184" s="935">
        <v>23.43</v>
      </c>
      <c r="H184" s="935">
        <v>26.07</v>
      </c>
      <c r="I184" s="935">
        <v>27.64</v>
      </c>
      <c r="J184" s="935">
        <v>28.47</v>
      </c>
      <c r="K184" s="935">
        <v>28.45</v>
      </c>
      <c r="L184" s="935">
        <v>29.92</v>
      </c>
      <c r="M184" s="935">
        <v>31.23</v>
      </c>
      <c r="N184" s="935">
        <v>31.97</v>
      </c>
      <c r="O184" s="935">
        <v>32.94</v>
      </c>
      <c r="P184" s="935">
        <v>34.090000000000003</v>
      </c>
      <c r="Q184" s="935">
        <v>35.479999999999997</v>
      </c>
      <c r="R184" s="935">
        <v>36.880000000000003</v>
      </c>
      <c r="S184" s="935">
        <v>37.979999999999997</v>
      </c>
      <c r="T184" s="935">
        <v>39.17</v>
      </c>
      <c r="U184" s="935">
        <v>40.479999999999997</v>
      </c>
      <c r="V184" s="935">
        <v>41.72</v>
      </c>
      <c r="W184" s="935">
        <v>43.4</v>
      </c>
      <c r="X184" s="935">
        <v>44.96</v>
      </c>
      <c r="Y184" s="935">
        <v>46.25</v>
      </c>
      <c r="Z184" s="935">
        <v>47.62</v>
      </c>
      <c r="AA184" s="935">
        <v>49.36</v>
      </c>
      <c r="AB184" s="935">
        <v>50.75</v>
      </c>
      <c r="AC184" s="935">
        <v>52.29</v>
      </c>
      <c r="AD184" s="935">
        <v>54.17</v>
      </c>
      <c r="AE184" s="974">
        <v>2.5999999999999999E-2</v>
      </c>
      <c r="AF184" s="935"/>
      <c r="AG184" s="935"/>
      <c r="AH184" s="935"/>
      <c r="AI184" s="935"/>
      <c r="AJ184" s="935"/>
      <c r="AK184" s="935"/>
      <c r="AL184" s="935"/>
      <c r="AM184" s="935"/>
      <c r="AN184" s="935"/>
      <c r="AO184" s="935"/>
      <c r="AP184" s="935"/>
      <c r="AQ184" s="935"/>
      <c r="AR184" s="935"/>
      <c r="AS184" s="935"/>
      <c r="AT184" s="935"/>
      <c r="AU184" s="935"/>
      <c r="AV184" s="935"/>
      <c r="AW184" s="935"/>
      <c r="AX184" s="935"/>
      <c r="AY184" s="935"/>
      <c r="AZ184" s="935"/>
      <c r="BA184" s="935"/>
      <c r="BB184" s="935"/>
      <c r="BC184" s="935"/>
      <c r="BD184" s="935"/>
      <c r="BE184" s="935"/>
      <c r="BF184" s="935"/>
      <c r="BG184" s="935"/>
      <c r="BH184" s="935"/>
      <c r="BI184" s="935"/>
      <c r="BJ184" s="935"/>
      <c r="BK184" s="935"/>
      <c r="BL184" s="935"/>
      <c r="BM184" s="935"/>
      <c r="BN184" s="935"/>
      <c r="BO184" s="935"/>
      <c r="BP184" s="935"/>
      <c r="BQ184" s="935"/>
      <c r="BR184" s="935"/>
      <c r="BS184" s="935"/>
      <c r="BT184" s="935"/>
    </row>
    <row r="185" spans="1:72" x14ac:dyDescent="0.25">
      <c r="A185" s="935" t="s">
        <v>619</v>
      </c>
      <c r="B185" s="935">
        <v>23.03</v>
      </c>
      <c r="C185" s="935">
        <v>26.54</v>
      </c>
      <c r="D185" s="935">
        <v>19.440000000000001</v>
      </c>
      <c r="E185" s="935">
        <v>21.17</v>
      </c>
      <c r="F185" s="935">
        <v>21.79</v>
      </c>
      <c r="G185" s="935">
        <v>23.32</v>
      </c>
      <c r="H185" s="935">
        <v>25.87</v>
      </c>
      <c r="I185" s="935">
        <v>27.33</v>
      </c>
      <c r="J185" s="935">
        <v>28.27</v>
      </c>
      <c r="K185" s="935">
        <v>29.42</v>
      </c>
      <c r="L185" s="935">
        <v>30.58</v>
      </c>
      <c r="M185" s="935">
        <v>31.64</v>
      </c>
      <c r="N185" s="935">
        <v>32.6</v>
      </c>
      <c r="O185" s="935">
        <v>33.71</v>
      </c>
      <c r="P185" s="935">
        <v>34.71</v>
      </c>
      <c r="Q185" s="935">
        <v>35.93</v>
      </c>
      <c r="R185" s="935">
        <v>37.020000000000003</v>
      </c>
      <c r="S185" s="935">
        <v>37.950000000000003</v>
      </c>
      <c r="T185" s="935">
        <v>39.17</v>
      </c>
      <c r="U185" s="935">
        <v>40.43</v>
      </c>
      <c r="V185" s="935">
        <v>41.68</v>
      </c>
      <c r="W185" s="935">
        <v>43.21</v>
      </c>
      <c r="X185" s="935">
        <v>44.69</v>
      </c>
      <c r="Y185" s="935">
        <v>45.9</v>
      </c>
      <c r="Z185" s="935">
        <v>47.46</v>
      </c>
      <c r="AA185" s="935">
        <v>49.15</v>
      </c>
      <c r="AB185" s="935">
        <v>50.65</v>
      </c>
      <c r="AC185" s="935">
        <v>52.35</v>
      </c>
      <c r="AD185" s="935">
        <v>54.32</v>
      </c>
      <c r="AE185" s="974">
        <v>2.7E-2</v>
      </c>
      <c r="AF185" s="935"/>
      <c r="AG185" s="935"/>
      <c r="AH185" s="935"/>
      <c r="AI185" s="935"/>
      <c r="AJ185" s="935"/>
      <c r="AK185" s="935"/>
      <c r="AL185" s="935"/>
      <c r="AM185" s="935"/>
      <c r="AN185" s="935"/>
      <c r="AO185" s="935"/>
      <c r="AP185" s="935"/>
      <c r="AQ185" s="935"/>
      <c r="AR185" s="935"/>
      <c r="AS185" s="935"/>
      <c r="AT185" s="935"/>
      <c r="AU185" s="935"/>
      <c r="AV185" s="935"/>
      <c r="AW185" s="935"/>
      <c r="AX185" s="935"/>
      <c r="AY185" s="935"/>
      <c r="AZ185" s="935"/>
      <c r="BA185" s="935"/>
      <c r="BB185" s="935"/>
      <c r="BC185" s="935"/>
      <c r="BD185" s="935"/>
      <c r="BE185" s="935"/>
      <c r="BF185" s="935"/>
      <c r="BG185" s="935"/>
      <c r="BH185" s="935"/>
      <c r="BI185" s="935"/>
      <c r="BJ185" s="935"/>
      <c r="BK185" s="935"/>
      <c r="BL185" s="935"/>
      <c r="BM185" s="935"/>
      <c r="BN185" s="935"/>
      <c r="BO185" s="935"/>
      <c r="BP185" s="935"/>
      <c r="BQ185" s="935"/>
      <c r="BR185" s="935"/>
      <c r="BS185" s="935"/>
      <c r="BT185" s="935"/>
    </row>
    <row r="186" spans="1:72" x14ac:dyDescent="0.25">
      <c r="A186" s="935" t="s">
        <v>626</v>
      </c>
      <c r="B186" s="935">
        <v>15.42</v>
      </c>
      <c r="C186" s="935">
        <v>22.71</v>
      </c>
      <c r="D186" s="935">
        <v>12.92</v>
      </c>
      <c r="E186" s="935">
        <v>15.23</v>
      </c>
      <c r="F186" s="935">
        <v>15.82</v>
      </c>
      <c r="G186" s="935">
        <v>17.510000000000002</v>
      </c>
      <c r="H186" s="935">
        <v>19.05</v>
      </c>
      <c r="I186" s="935">
        <v>20.23</v>
      </c>
      <c r="J186" s="935">
        <v>21.21</v>
      </c>
      <c r="K186" s="935">
        <v>22.42</v>
      </c>
      <c r="L186" s="935">
        <v>23.58</v>
      </c>
      <c r="M186" s="935">
        <v>24.67</v>
      </c>
      <c r="N186" s="935">
        <v>25.58</v>
      </c>
      <c r="O186" s="935">
        <v>26.51</v>
      </c>
      <c r="P186" s="935">
        <v>27.27</v>
      </c>
      <c r="Q186" s="935">
        <v>28.18</v>
      </c>
      <c r="R186" s="935">
        <v>29.2</v>
      </c>
      <c r="S186" s="935">
        <v>30.07</v>
      </c>
      <c r="T186" s="935">
        <v>31.1</v>
      </c>
      <c r="U186" s="935">
        <v>32.130000000000003</v>
      </c>
      <c r="V186" s="935">
        <v>33.21</v>
      </c>
      <c r="W186" s="935">
        <v>34.54</v>
      </c>
      <c r="X186" s="935">
        <v>35.83</v>
      </c>
      <c r="Y186" s="935">
        <v>36.99</v>
      </c>
      <c r="Z186" s="935">
        <v>38.42</v>
      </c>
      <c r="AA186" s="935">
        <v>39.92</v>
      </c>
      <c r="AB186" s="935">
        <v>41.32</v>
      </c>
      <c r="AC186" s="935">
        <v>42.87</v>
      </c>
      <c r="AD186" s="935">
        <v>44.51</v>
      </c>
      <c r="AE186" s="974">
        <v>2.5000000000000001E-2</v>
      </c>
      <c r="AF186" s="935"/>
      <c r="AG186" s="935"/>
      <c r="AH186" s="935"/>
      <c r="AI186" s="935"/>
      <c r="AJ186" s="935"/>
      <c r="AK186" s="935"/>
      <c r="AL186" s="935"/>
      <c r="AM186" s="935"/>
      <c r="AN186" s="935"/>
      <c r="AO186" s="935"/>
      <c r="AP186" s="935"/>
      <c r="AQ186" s="935"/>
      <c r="AR186" s="935"/>
      <c r="AS186" s="935"/>
      <c r="AT186" s="935"/>
      <c r="AU186" s="935"/>
      <c r="AV186" s="935"/>
      <c r="AW186" s="935"/>
      <c r="AX186" s="935"/>
      <c r="AY186" s="935"/>
      <c r="AZ186" s="935"/>
      <c r="BA186" s="935"/>
      <c r="BB186" s="935"/>
      <c r="BC186" s="935"/>
      <c r="BD186" s="935"/>
      <c r="BE186" s="935"/>
      <c r="BF186" s="935"/>
      <c r="BG186" s="935"/>
      <c r="BH186" s="935"/>
      <c r="BI186" s="935"/>
      <c r="BJ186" s="935"/>
      <c r="BK186" s="935"/>
      <c r="BL186" s="935"/>
      <c r="BM186" s="935"/>
      <c r="BN186" s="935"/>
      <c r="BO186" s="935"/>
      <c r="BP186" s="935"/>
      <c r="BQ186" s="935"/>
      <c r="BR186" s="935"/>
      <c r="BS186" s="935"/>
      <c r="BT186" s="935"/>
    </row>
    <row r="187" spans="1:72" x14ac:dyDescent="0.25">
      <c r="A187" s="935" t="s">
        <v>610</v>
      </c>
      <c r="B187" s="935">
        <v>20.260000000000002</v>
      </c>
      <c r="C187" s="935">
        <v>26.27</v>
      </c>
      <c r="D187" s="935">
        <v>17.73</v>
      </c>
      <c r="E187" s="935">
        <v>18.260000000000002</v>
      </c>
      <c r="F187" s="935">
        <v>18.940000000000001</v>
      </c>
      <c r="G187" s="935">
        <v>20.58</v>
      </c>
      <c r="H187" s="935">
        <v>22.21</v>
      </c>
      <c r="I187" s="935">
        <v>23.39</v>
      </c>
      <c r="J187" s="935">
        <v>24.55</v>
      </c>
      <c r="K187" s="935">
        <v>25.86</v>
      </c>
      <c r="L187" s="935">
        <v>27.09</v>
      </c>
      <c r="M187" s="935">
        <v>28.33</v>
      </c>
      <c r="N187" s="935">
        <v>29.33</v>
      </c>
      <c r="O187" s="935">
        <v>30.3</v>
      </c>
      <c r="P187" s="935">
        <v>31.19</v>
      </c>
      <c r="Q187" s="935">
        <v>32.29</v>
      </c>
      <c r="R187" s="935">
        <v>33.22</v>
      </c>
      <c r="S187" s="935">
        <v>34.04</v>
      </c>
      <c r="T187" s="935">
        <v>35.14</v>
      </c>
      <c r="U187" s="935">
        <v>36.19</v>
      </c>
      <c r="V187" s="935">
        <v>37.31</v>
      </c>
      <c r="W187" s="935">
        <v>38.6</v>
      </c>
      <c r="X187" s="935">
        <v>40.04</v>
      </c>
      <c r="Y187" s="935">
        <v>41.2</v>
      </c>
      <c r="Z187" s="935">
        <v>42.78</v>
      </c>
      <c r="AA187" s="935">
        <v>44.38</v>
      </c>
      <c r="AB187" s="935">
        <v>45.87</v>
      </c>
      <c r="AC187" s="935">
        <v>47.52</v>
      </c>
      <c r="AD187" s="935">
        <v>49.31</v>
      </c>
      <c r="AE187" s="974">
        <v>2.4E-2</v>
      </c>
      <c r="AF187" s="935"/>
      <c r="AG187" s="935"/>
      <c r="AH187" s="935"/>
      <c r="AI187" s="935"/>
      <c r="AJ187" s="935"/>
      <c r="AK187" s="935"/>
      <c r="AL187" s="935"/>
      <c r="AM187" s="935"/>
      <c r="AN187" s="935"/>
      <c r="AO187" s="935"/>
      <c r="AP187" s="935"/>
      <c r="AQ187" s="935"/>
      <c r="AR187" s="935"/>
      <c r="AS187" s="935"/>
      <c r="AT187" s="935"/>
      <c r="AU187" s="935"/>
      <c r="AV187" s="935"/>
      <c r="AW187" s="935"/>
      <c r="AX187" s="935"/>
      <c r="AY187" s="935"/>
      <c r="AZ187" s="935"/>
      <c r="BA187" s="935"/>
      <c r="BB187" s="935"/>
      <c r="BC187" s="935"/>
      <c r="BD187" s="935"/>
      <c r="BE187" s="935"/>
      <c r="BF187" s="935"/>
      <c r="BG187" s="935"/>
      <c r="BH187" s="935"/>
      <c r="BI187" s="935"/>
      <c r="BJ187" s="935"/>
      <c r="BK187" s="935"/>
      <c r="BL187" s="935"/>
      <c r="BM187" s="935"/>
      <c r="BN187" s="935"/>
      <c r="BO187" s="935"/>
      <c r="BP187" s="935"/>
      <c r="BQ187" s="935"/>
      <c r="BR187" s="935"/>
      <c r="BS187" s="935"/>
      <c r="BT187" s="935"/>
    </row>
    <row r="188" spans="1:72" x14ac:dyDescent="0.25">
      <c r="A188" s="935" t="s">
        <v>611</v>
      </c>
      <c r="B188" s="935">
        <v>8.8699999999999992</v>
      </c>
      <c r="C188" s="935">
        <v>14.77</v>
      </c>
      <c r="D188" s="935">
        <v>9.1</v>
      </c>
      <c r="E188" s="935">
        <v>11.22</v>
      </c>
      <c r="F188" s="935">
        <v>11.49</v>
      </c>
      <c r="G188" s="935">
        <v>12.89</v>
      </c>
      <c r="H188" s="935">
        <v>14.14</v>
      </c>
      <c r="I188" s="935">
        <v>15.19</v>
      </c>
      <c r="J188" s="935">
        <v>15.89</v>
      </c>
      <c r="K188" s="935">
        <v>16.600000000000001</v>
      </c>
      <c r="L188" s="935">
        <v>17.5</v>
      </c>
      <c r="M188" s="935">
        <v>18.3</v>
      </c>
      <c r="N188" s="935">
        <v>18.89</v>
      </c>
      <c r="O188" s="935">
        <v>19.329999999999998</v>
      </c>
      <c r="P188" s="935">
        <v>20.03</v>
      </c>
      <c r="Q188" s="935">
        <v>20.64</v>
      </c>
      <c r="R188" s="935">
        <v>21.36</v>
      </c>
      <c r="S188" s="935">
        <v>22.08</v>
      </c>
      <c r="T188" s="935">
        <v>22.8</v>
      </c>
      <c r="U188" s="935">
        <v>23.35</v>
      </c>
      <c r="V188" s="935">
        <v>24.24</v>
      </c>
      <c r="W188" s="935">
        <v>25.11</v>
      </c>
      <c r="X188" s="935">
        <v>26.08</v>
      </c>
      <c r="Y188" s="935">
        <v>27.11</v>
      </c>
      <c r="Z188" s="935">
        <v>28.23</v>
      </c>
      <c r="AA188" s="935">
        <v>29.29</v>
      </c>
      <c r="AB188" s="935">
        <v>30.29</v>
      </c>
      <c r="AC188" s="935">
        <v>31.46</v>
      </c>
      <c r="AD188" s="935">
        <v>32.700000000000003</v>
      </c>
      <c r="AE188" s="974">
        <v>0.03</v>
      </c>
      <c r="AF188" s="935"/>
      <c r="AG188" s="935"/>
      <c r="AH188" s="935"/>
      <c r="AI188" s="935"/>
      <c r="AJ188" s="935"/>
      <c r="AK188" s="935"/>
      <c r="AL188" s="935"/>
      <c r="AM188" s="935"/>
      <c r="AN188" s="935"/>
      <c r="AO188" s="935"/>
      <c r="AP188" s="935"/>
      <c r="AQ188" s="935"/>
      <c r="AR188" s="935"/>
      <c r="AS188" s="935"/>
      <c r="AT188" s="935"/>
      <c r="AU188" s="935"/>
      <c r="AV188" s="935"/>
      <c r="AW188" s="935"/>
      <c r="AX188" s="935"/>
      <c r="AY188" s="935"/>
      <c r="AZ188" s="935"/>
      <c r="BA188" s="935"/>
      <c r="BB188" s="935"/>
      <c r="BC188" s="935"/>
      <c r="BD188" s="935"/>
      <c r="BE188" s="935"/>
      <c r="BF188" s="935"/>
      <c r="BG188" s="935"/>
      <c r="BH188" s="935"/>
      <c r="BI188" s="935"/>
      <c r="BJ188" s="935"/>
      <c r="BK188" s="935"/>
      <c r="BL188" s="935"/>
      <c r="BM188" s="935"/>
      <c r="BN188" s="935"/>
      <c r="BO188" s="935"/>
      <c r="BP188" s="935"/>
      <c r="BQ188" s="935"/>
      <c r="BR188" s="935"/>
      <c r="BS188" s="935"/>
      <c r="BT188" s="935"/>
    </row>
    <row r="189" spans="1:72" x14ac:dyDescent="0.25">
      <c r="A189" s="935" t="s">
        <v>510</v>
      </c>
      <c r="B189" s="935">
        <v>8.99</v>
      </c>
      <c r="C189" s="935">
        <v>10.53</v>
      </c>
      <c r="D189" s="935">
        <v>6.67</v>
      </c>
      <c r="E189" s="935">
        <v>7.08</v>
      </c>
      <c r="F189" s="935">
        <v>8.2100000000000009</v>
      </c>
      <c r="G189" s="935">
        <v>8.68</v>
      </c>
      <c r="H189" s="935">
        <v>8.67</v>
      </c>
      <c r="I189" s="935">
        <v>8.7799999999999994</v>
      </c>
      <c r="J189" s="935">
        <v>9.07</v>
      </c>
      <c r="K189" s="935">
        <v>9.33</v>
      </c>
      <c r="L189" s="935">
        <v>9.5</v>
      </c>
      <c r="M189" s="935">
        <v>9.73</v>
      </c>
      <c r="N189" s="935">
        <v>9.98</v>
      </c>
      <c r="O189" s="935">
        <v>10.32</v>
      </c>
      <c r="P189" s="935">
        <v>10.67</v>
      </c>
      <c r="Q189" s="935">
        <v>11.14</v>
      </c>
      <c r="R189" s="935">
        <v>11.42</v>
      </c>
      <c r="S189" s="935">
        <v>11.55</v>
      </c>
      <c r="T189" s="935">
        <v>11.88</v>
      </c>
      <c r="U189" s="935">
        <v>12.31</v>
      </c>
      <c r="V189" s="935">
        <v>12.79</v>
      </c>
      <c r="W189" s="935">
        <v>13.39</v>
      </c>
      <c r="X189" s="935">
        <v>14.02</v>
      </c>
      <c r="Y189" s="935">
        <v>14.7</v>
      </c>
      <c r="Z189" s="935">
        <v>15.51</v>
      </c>
      <c r="AA189" s="935">
        <v>16.05</v>
      </c>
      <c r="AB189" s="935">
        <v>16.46</v>
      </c>
      <c r="AC189" s="935">
        <v>17.12</v>
      </c>
      <c r="AD189" s="935">
        <v>17.71</v>
      </c>
      <c r="AE189" s="974">
        <v>1.9E-2</v>
      </c>
      <c r="AF189" s="935"/>
      <c r="AG189" s="935"/>
      <c r="AH189" s="935"/>
      <c r="AI189" s="935"/>
      <c r="AJ189" s="935"/>
      <c r="AK189" s="935"/>
      <c r="AL189" s="935"/>
      <c r="AM189" s="935"/>
      <c r="AN189" s="935"/>
      <c r="AO189" s="935"/>
      <c r="AP189" s="935"/>
      <c r="AQ189" s="935"/>
      <c r="AR189" s="935"/>
      <c r="AS189" s="935"/>
      <c r="AT189" s="935"/>
      <c r="AU189" s="935"/>
      <c r="AV189" s="935"/>
      <c r="AW189" s="935"/>
      <c r="AX189" s="935"/>
      <c r="AY189" s="935"/>
      <c r="AZ189" s="935"/>
      <c r="BA189" s="935"/>
      <c r="BB189" s="935"/>
      <c r="BC189" s="935"/>
      <c r="BD189" s="935"/>
      <c r="BE189" s="935"/>
      <c r="BF189" s="935"/>
      <c r="BG189" s="935"/>
      <c r="BH189" s="935"/>
      <c r="BI189" s="935"/>
      <c r="BJ189" s="935"/>
      <c r="BK189" s="935"/>
      <c r="BL189" s="935"/>
      <c r="BM189" s="935"/>
      <c r="BN189" s="935"/>
      <c r="BO189" s="935"/>
      <c r="BP189" s="935"/>
      <c r="BQ189" s="935"/>
      <c r="BR189" s="935"/>
      <c r="BS189" s="935"/>
      <c r="BT189" s="935"/>
    </row>
    <row r="190" spans="1:72" x14ac:dyDescent="0.25">
      <c r="A190" s="935" t="s">
        <v>614</v>
      </c>
      <c r="B190" s="935">
        <v>3.61</v>
      </c>
      <c r="C190" s="935">
        <v>4.49</v>
      </c>
      <c r="D190" s="935">
        <v>4.79</v>
      </c>
      <c r="E190" s="935">
        <v>4.9400000000000004</v>
      </c>
      <c r="F190" s="935">
        <v>5.07</v>
      </c>
      <c r="G190" s="935">
        <v>5.31</v>
      </c>
      <c r="H190" s="935">
        <v>5.44</v>
      </c>
      <c r="I190" s="935">
        <v>5.56</v>
      </c>
      <c r="J190" s="935">
        <v>5.66</v>
      </c>
      <c r="K190" s="935">
        <v>5.77</v>
      </c>
      <c r="L190" s="935">
        <v>5.97</v>
      </c>
      <c r="M190" s="935">
        <v>6.14</v>
      </c>
      <c r="N190" s="935">
        <v>6.34</v>
      </c>
      <c r="O190" s="935">
        <v>6.5</v>
      </c>
      <c r="P190" s="935">
        <v>6.68</v>
      </c>
      <c r="Q190" s="935">
        <v>6.84</v>
      </c>
      <c r="R190" s="935">
        <v>6.98</v>
      </c>
      <c r="S190" s="935">
        <v>7.07</v>
      </c>
      <c r="T190" s="935">
        <v>7.11</v>
      </c>
      <c r="U190" s="935">
        <v>7.15</v>
      </c>
      <c r="V190" s="935">
        <v>7.27</v>
      </c>
      <c r="W190" s="935">
        <v>7.43</v>
      </c>
      <c r="X190" s="935">
        <v>7.55</v>
      </c>
      <c r="Y190" s="935">
        <v>7.72</v>
      </c>
      <c r="Z190" s="935">
        <v>7.86</v>
      </c>
      <c r="AA190" s="935">
        <v>8.02</v>
      </c>
      <c r="AB190" s="935">
        <v>8.18</v>
      </c>
      <c r="AC190" s="935">
        <v>8.33</v>
      </c>
      <c r="AD190" s="935">
        <v>8.5</v>
      </c>
      <c r="AE190" s="974">
        <v>2.4E-2</v>
      </c>
      <c r="AF190" s="935"/>
      <c r="AG190" s="935"/>
      <c r="AH190" s="935"/>
      <c r="AI190" s="935"/>
      <c r="AJ190" s="935"/>
      <c r="AK190" s="935"/>
      <c r="AL190" s="935"/>
      <c r="AM190" s="935"/>
      <c r="AN190" s="935"/>
      <c r="AO190" s="935"/>
      <c r="AP190" s="935"/>
      <c r="AQ190" s="935"/>
      <c r="AR190" s="935"/>
      <c r="AS190" s="935"/>
      <c r="AT190" s="935"/>
      <c r="AU190" s="935"/>
      <c r="AV190" s="935"/>
      <c r="AW190" s="935"/>
      <c r="AX190" s="935"/>
      <c r="AY190" s="935"/>
      <c r="AZ190" s="935"/>
      <c r="BA190" s="935"/>
      <c r="BB190" s="935"/>
      <c r="BC190" s="935"/>
      <c r="BD190" s="935"/>
      <c r="BE190" s="935"/>
      <c r="BF190" s="935"/>
      <c r="BG190" s="935"/>
      <c r="BH190" s="935"/>
      <c r="BI190" s="935"/>
      <c r="BJ190" s="935"/>
      <c r="BK190" s="935"/>
      <c r="BL190" s="935"/>
      <c r="BM190" s="935"/>
      <c r="BN190" s="935"/>
      <c r="BO190" s="935"/>
      <c r="BP190" s="935"/>
      <c r="BQ190" s="935"/>
      <c r="BR190" s="935"/>
      <c r="BS190" s="935"/>
      <c r="BT190" s="935"/>
    </row>
    <row r="191" spans="1:72" x14ac:dyDescent="0.25">
      <c r="A191" s="935" t="s">
        <v>627</v>
      </c>
      <c r="B191" s="935">
        <v>1.8</v>
      </c>
      <c r="C191" s="935">
        <v>2.1</v>
      </c>
      <c r="D191" s="935">
        <v>2.2200000000000002</v>
      </c>
      <c r="E191" s="935">
        <v>2.09</v>
      </c>
      <c r="F191" s="935">
        <v>2.11</v>
      </c>
      <c r="G191" s="935">
        <v>2.14</v>
      </c>
      <c r="H191" s="935">
        <v>2.19</v>
      </c>
      <c r="I191" s="935">
        <v>2.23</v>
      </c>
      <c r="J191" s="935">
        <v>2.2799999999999998</v>
      </c>
      <c r="K191" s="935">
        <v>2.2999999999999998</v>
      </c>
      <c r="L191" s="935">
        <v>2.35</v>
      </c>
      <c r="M191" s="935">
        <v>2.39</v>
      </c>
      <c r="N191" s="935">
        <v>2.4300000000000002</v>
      </c>
      <c r="O191" s="935">
        <v>2.4700000000000002</v>
      </c>
      <c r="P191" s="935">
        <v>2.52</v>
      </c>
      <c r="Q191" s="935">
        <v>2.58</v>
      </c>
      <c r="R191" s="935">
        <v>2.64</v>
      </c>
      <c r="S191" s="935">
        <v>2.69</v>
      </c>
      <c r="T191" s="935">
        <v>2.74</v>
      </c>
      <c r="U191" s="935">
        <v>2.81</v>
      </c>
      <c r="V191" s="935">
        <v>2.87</v>
      </c>
      <c r="W191" s="935">
        <v>2.95</v>
      </c>
      <c r="X191" s="935">
        <v>3.03</v>
      </c>
      <c r="Y191" s="935">
        <v>3.11</v>
      </c>
      <c r="Z191" s="935">
        <v>3.2</v>
      </c>
      <c r="AA191" s="935">
        <v>3.28</v>
      </c>
      <c r="AB191" s="935">
        <v>3.37</v>
      </c>
      <c r="AC191" s="935">
        <v>3.46</v>
      </c>
      <c r="AD191" s="935">
        <v>3.56</v>
      </c>
      <c r="AE191" s="974">
        <v>0.02</v>
      </c>
      <c r="AF191" s="935"/>
      <c r="AG191" s="935"/>
      <c r="AH191" s="935"/>
      <c r="AI191" s="935"/>
      <c r="AJ191" s="935"/>
      <c r="AK191" s="935"/>
      <c r="AL191" s="935"/>
      <c r="AM191" s="935"/>
      <c r="AN191" s="935"/>
      <c r="AO191" s="935"/>
      <c r="AP191" s="935"/>
      <c r="AQ191" s="935"/>
      <c r="AR191" s="935"/>
      <c r="AS191" s="935"/>
      <c r="AT191" s="935"/>
      <c r="AU191" s="935"/>
      <c r="AV191" s="935"/>
      <c r="AW191" s="935"/>
      <c r="AX191" s="935"/>
      <c r="AY191" s="935"/>
      <c r="AZ191" s="935"/>
      <c r="BA191" s="935"/>
      <c r="BB191" s="935"/>
      <c r="BC191" s="935"/>
      <c r="BD191" s="935"/>
      <c r="BE191" s="935"/>
      <c r="BF191" s="935"/>
      <c r="BG191" s="935"/>
      <c r="BH191" s="935"/>
      <c r="BI191" s="935"/>
      <c r="BJ191" s="935"/>
      <c r="BK191" s="935"/>
      <c r="BL191" s="935"/>
      <c r="BM191" s="935"/>
      <c r="BN191" s="935"/>
      <c r="BO191" s="935"/>
      <c r="BP191" s="935"/>
      <c r="BQ191" s="935"/>
      <c r="BR191" s="935"/>
      <c r="BS191" s="935"/>
      <c r="BT191" s="935"/>
    </row>
    <row r="192" spans="1:72" x14ac:dyDescent="0.25">
      <c r="A192" s="935" t="s">
        <v>616</v>
      </c>
      <c r="B192" s="935" t="s">
        <v>788</v>
      </c>
      <c r="C192" s="935" t="s">
        <v>788</v>
      </c>
      <c r="D192" s="935" t="s">
        <v>788</v>
      </c>
      <c r="E192" s="935" t="s">
        <v>788</v>
      </c>
      <c r="F192" s="935">
        <v>1.32</v>
      </c>
      <c r="G192" s="935">
        <v>1.1000000000000001</v>
      </c>
      <c r="H192" s="935">
        <v>1.1200000000000001</v>
      </c>
      <c r="I192" s="935">
        <v>1.55</v>
      </c>
      <c r="J192" s="935">
        <v>1.58</v>
      </c>
      <c r="K192" s="935">
        <v>1.65</v>
      </c>
      <c r="L192" s="935">
        <v>1.72</v>
      </c>
      <c r="M192" s="935">
        <v>1.74</v>
      </c>
      <c r="N192" s="935">
        <v>1.76</v>
      </c>
      <c r="O192" s="935">
        <v>1.79</v>
      </c>
      <c r="P192" s="935">
        <v>1.86</v>
      </c>
      <c r="Q192" s="935">
        <v>1.91</v>
      </c>
      <c r="R192" s="935">
        <v>1.98</v>
      </c>
      <c r="S192" s="935">
        <v>1.99</v>
      </c>
      <c r="T192" s="935">
        <v>2.02</v>
      </c>
      <c r="U192" s="935">
        <v>2.04</v>
      </c>
      <c r="V192" s="935">
        <v>2.0699999999999998</v>
      </c>
      <c r="W192" s="935">
        <v>2.1</v>
      </c>
      <c r="X192" s="935">
        <v>2.13</v>
      </c>
      <c r="Y192" s="935">
        <v>2.1800000000000002</v>
      </c>
      <c r="Z192" s="935">
        <v>2.2200000000000002</v>
      </c>
      <c r="AA192" s="935">
        <v>2.2799999999999998</v>
      </c>
      <c r="AB192" s="935">
        <v>2.35</v>
      </c>
      <c r="AC192" s="935">
        <v>2.44</v>
      </c>
      <c r="AD192" s="935">
        <v>2.5299999999999998</v>
      </c>
      <c r="AE192" s="935" t="s">
        <v>788</v>
      </c>
      <c r="AF192" s="935"/>
      <c r="AG192" s="935"/>
      <c r="AH192" s="935"/>
      <c r="AI192" s="935"/>
      <c r="AJ192" s="935"/>
      <c r="AK192" s="935"/>
      <c r="AL192" s="935"/>
      <c r="AM192" s="935"/>
      <c r="AN192" s="935"/>
      <c r="AO192" s="935"/>
      <c r="AP192" s="935"/>
      <c r="AQ192" s="935"/>
      <c r="AR192" s="935"/>
      <c r="AS192" s="935"/>
      <c r="AT192" s="935"/>
      <c r="AU192" s="935"/>
      <c r="AV192" s="935"/>
      <c r="AW192" s="935"/>
      <c r="AX192" s="935"/>
      <c r="AY192" s="935"/>
      <c r="AZ192" s="935"/>
      <c r="BA192" s="935"/>
      <c r="BB192" s="935"/>
      <c r="BC192" s="935"/>
      <c r="BD192" s="935"/>
      <c r="BE192" s="935"/>
      <c r="BF192" s="935"/>
      <c r="BG192" s="935"/>
      <c r="BH192" s="935"/>
      <c r="BI192" s="935"/>
      <c r="BJ192" s="935"/>
      <c r="BK192" s="935"/>
      <c r="BL192" s="935"/>
      <c r="BM192" s="935"/>
      <c r="BN192" s="935"/>
      <c r="BO192" s="935"/>
      <c r="BP192" s="935"/>
      <c r="BQ192" s="935"/>
      <c r="BR192" s="935"/>
      <c r="BS192" s="935"/>
      <c r="BT192" s="935"/>
    </row>
    <row r="193" spans="1:72" x14ac:dyDescent="0.25">
      <c r="A193" s="935" t="s">
        <v>479</v>
      </c>
      <c r="B193" s="935">
        <v>26.66</v>
      </c>
      <c r="C193" s="935">
        <v>28.81</v>
      </c>
      <c r="D193" s="935">
        <v>28.5</v>
      </c>
      <c r="E193" s="935">
        <v>27.58</v>
      </c>
      <c r="F193" s="935">
        <v>26.29</v>
      </c>
      <c r="G193" s="935">
        <v>27.63</v>
      </c>
      <c r="H193" s="935">
        <v>28.19</v>
      </c>
      <c r="I193" s="935">
        <v>28.46</v>
      </c>
      <c r="J193" s="935">
        <v>28.92</v>
      </c>
      <c r="K193" s="935">
        <v>29.72</v>
      </c>
      <c r="L193" s="935">
        <v>30.45</v>
      </c>
      <c r="M193" s="935">
        <v>31.03</v>
      </c>
      <c r="N193" s="935">
        <v>31.53</v>
      </c>
      <c r="O193" s="935">
        <v>32.4</v>
      </c>
      <c r="P193" s="935">
        <v>33.33</v>
      </c>
      <c r="Q193" s="935">
        <v>34.229999999999997</v>
      </c>
      <c r="R193" s="935">
        <v>35.22</v>
      </c>
      <c r="S193" s="935">
        <v>36.159999999999997</v>
      </c>
      <c r="T193" s="935">
        <v>36.869999999999997</v>
      </c>
      <c r="U193" s="935">
        <v>37.86</v>
      </c>
      <c r="V193" s="935">
        <v>38.94</v>
      </c>
      <c r="W193" s="935">
        <v>40.090000000000003</v>
      </c>
      <c r="X193" s="935">
        <v>41.58</v>
      </c>
      <c r="Y193" s="935">
        <v>43</v>
      </c>
      <c r="Z193" s="935">
        <v>44.53</v>
      </c>
      <c r="AA193" s="935">
        <v>46.07</v>
      </c>
      <c r="AB193" s="935">
        <v>47.34</v>
      </c>
      <c r="AC193" s="935">
        <v>48.78</v>
      </c>
      <c r="AD193" s="935">
        <v>50.19</v>
      </c>
      <c r="AE193" s="974">
        <v>2.1000000000000001E-2</v>
      </c>
      <c r="AF193" s="935"/>
      <c r="AG193" s="935"/>
      <c r="AH193" s="935"/>
      <c r="AI193" s="935"/>
      <c r="AJ193" s="935"/>
      <c r="AK193" s="935"/>
      <c r="AL193" s="935"/>
      <c r="AM193" s="935"/>
      <c r="AN193" s="935"/>
      <c r="AO193" s="935"/>
      <c r="AP193" s="935"/>
      <c r="AQ193" s="935"/>
      <c r="AR193" s="935"/>
      <c r="AS193" s="935"/>
      <c r="AT193" s="935"/>
      <c r="AU193" s="935"/>
      <c r="AV193" s="935"/>
      <c r="AW193" s="935"/>
      <c r="AX193" s="935"/>
      <c r="AY193" s="935"/>
      <c r="AZ193" s="935"/>
      <c r="BA193" s="935"/>
      <c r="BB193" s="935"/>
      <c r="BC193" s="935"/>
      <c r="BD193" s="935"/>
      <c r="BE193" s="935"/>
      <c r="BF193" s="935"/>
      <c r="BG193" s="935"/>
      <c r="BH193" s="935"/>
      <c r="BI193" s="935"/>
      <c r="BJ193" s="935"/>
      <c r="BK193" s="935"/>
      <c r="BL193" s="935"/>
      <c r="BM193" s="935"/>
      <c r="BN193" s="935"/>
      <c r="BO193" s="935"/>
      <c r="BP193" s="935"/>
      <c r="BQ193" s="935"/>
      <c r="BR193" s="935"/>
      <c r="BS193" s="935"/>
      <c r="BT193" s="935"/>
    </row>
    <row r="194" spans="1:72" x14ac:dyDescent="0.25">
      <c r="A194" s="935"/>
      <c r="B194" s="935"/>
      <c r="C194" s="935"/>
      <c r="D194" s="935"/>
      <c r="E194" s="935"/>
      <c r="F194" s="935"/>
      <c r="G194" s="935"/>
      <c r="H194" s="935"/>
      <c r="I194" s="935"/>
      <c r="J194" s="935"/>
      <c r="K194" s="935"/>
      <c r="L194" s="935"/>
      <c r="M194" s="935"/>
      <c r="N194" s="935"/>
      <c r="O194" s="935"/>
      <c r="P194" s="935"/>
      <c r="Q194" s="935"/>
      <c r="R194" s="935"/>
      <c r="S194" s="935"/>
      <c r="T194" s="935"/>
      <c r="U194" s="935"/>
      <c r="V194" s="935"/>
      <c r="W194" s="935"/>
      <c r="X194" s="935"/>
      <c r="Y194" s="935"/>
      <c r="Z194" s="935"/>
      <c r="AA194" s="935"/>
      <c r="AB194" s="935"/>
      <c r="AC194" s="935"/>
      <c r="AD194" s="935"/>
      <c r="AE194" s="935"/>
      <c r="AF194" s="935"/>
      <c r="AG194" s="935"/>
      <c r="AH194" s="935"/>
      <c r="AI194" s="935"/>
      <c r="AJ194" s="935"/>
      <c r="AK194" s="935"/>
      <c r="AL194" s="935"/>
      <c r="AM194" s="935"/>
      <c r="AN194" s="935"/>
      <c r="AO194" s="935"/>
      <c r="AP194" s="935"/>
      <c r="AQ194" s="935"/>
      <c r="AR194" s="935"/>
      <c r="AS194" s="935"/>
      <c r="AT194" s="935"/>
      <c r="AU194" s="935"/>
      <c r="AV194" s="935"/>
      <c r="AW194" s="935"/>
      <c r="AX194" s="935"/>
      <c r="AY194" s="935"/>
      <c r="AZ194" s="935"/>
      <c r="BA194" s="935"/>
      <c r="BB194" s="935"/>
      <c r="BC194" s="935"/>
      <c r="BD194" s="935"/>
      <c r="BE194" s="935"/>
      <c r="BF194" s="935"/>
      <c r="BG194" s="935"/>
      <c r="BH194" s="935"/>
      <c r="BI194" s="935"/>
      <c r="BJ194" s="935"/>
      <c r="BK194" s="935"/>
      <c r="BL194" s="935"/>
      <c r="BM194" s="935"/>
      <c r="BN194" s="935"/>
      <c r="BO194" s="935"/>
      <c r="BP194" s="935"/>
      <c r="BQ194" s="935"/>
      <c r="BR194" s="935"/>
      <c r="BS194" s="935"/>
      <c r="BT194" s="935"/>
    </row>
    <row r="195" spans="1:72" x14ac:dyDescent="0.25">
      <c r="A195" s="935" t="s">
        <v>513</v>
      </c>
      <c r="B195" s="935"/>
      <c r="C195" s="935"/>
      <c r="D195" s="935"/>
      <c r="E195" s="935"/>
      <c r="F195" s="935"/>
      <c r="G195" s="935"/>
      <c r="H195" s="935"/>
      <c r="I195" s="935"/>
      <c r="J195" s="935"/>
      <c r="K195" s="935"/>
      <c r="L195" s="935"/>
      <c r="M195" s="935"/>
      <c r="N195" s="935"/>
      <c r="O195" s="935"/>
      <c r="P195" s="935"/>
      <c r="Q195" s="935"/>
      <c r="R195" s="935"/>
      <c r="S195" s="935"/>
      <c r="T195" s="935"/>
      <c r="U195" s="935"/>
      <c r="V195" s="935"/>
      <c r="W195" s="935"/>
      <c r="X195" s="935"/>
      <c r="Y195" s="935"/>
      <c r="Z195" s="935"/>
      <c r="AA195" s="935"/>
      <c r="AB195" s="935"/>
      <c r="AC195" s="935"/>
      <c r="AD195" s="935"/>
      <c r="AE195" s="935"/>
      <c r="AF195" s="935"/>
      <c r="AG195" s="935"/>
      <c r="AH195" s="935"/>
      <c r="AI195" s="935"/>
      <c r="AJ195" s="935"/>
      <c r="AK195" s="935"/>
      <c r="AL195" s="935"/>
      <c r="AM195" s="935"/>
      <c r="AN195" s="935"/>
      <c r="AO195" s="935"/>
      <c r="AP195" s="935"/>
      <c r="AQ195" s="935"/>
      <c r="AR195" s="935"/>
      <c r="AS195" s="935"/>
      <c r="AT195" s="935"/>
      <c r="AU195" s="935"/>
      <c r="AV195" s="935"/>
      <c r="AW195" s="935"/>
      <c r="AX195" s="935"/>
      <c r="AY195" s="935"/>
      <c r="AZ195" s="935"/>
      <c r="BA195" s="935"/>
      <c r="BB195" s="935"/>
      <c r="BC195" s="935"/>
      <c r="BD195" s="935"/>
      <c r="BE195" s="935"/>
      <c r="BF195" s="935"/>
      <c r="BG195" s="935"/>
      <c r="BH195" s="935"/>
      <c r="BI195" s="935"/>
      <c r="BJ195" s="935"/>
      <c r="BK195" s="935"/>
      <c r="BL195" s="935"/>
      <c r="BM195" s="935"/>
      <c r="BN195" s="935"/>
      <c r="BO195" s="935"/>
      <c r="BP195" s="935"/>
      <c r="BQ195" s="935"/>
      <c r="BR195" s="935"/>
      <c r="BS195" s="935"/>
      <c r="BT195" s="935"/>
    </row>
    <row r="196" spans="1:72" x14ac:dyDescent="0.25">
      <c r="A196" s="935" t="s">
        <v>727</v>
      </c>
      <c r="B196" s="935"/>
      <c r="C196" s="935"/>
      <c r="D196" s="935"/>
      <c r="E196" s="935"/>
      <c r="F196" s="935"/>
      <c r="G196" s="935"/>
      <c r="H196" s="935"/>
      <c r="I196" s="935"/>
      <c r="J196" s="935"/>
      <c r="K196" s="935"/>
      <c r="L196" s="935"/>
      <c r="M196" s="935"/>
      <c r="N196" s="935"/>
      <c r="O196" s="935"/>
      <c r="P196" s="935"/>
      <c r="Q196" s="935"/>
      <c r="R196" s="935"/>
      <c r="S196" s="935"/>
      <c r="T196" s="935"/>
      <c r="U196" s="935"/>
      <c r="V196" s="935"/>
      <c r="W196" s="935"/>
      <c r="X196" s="935"/>
      <c r="Y196" s="935"/>
      <c r="Z196" s="935"/>
      <c r="AA196" s="935"/>
      <c r="AB196" s="935"/>
      <c r="AC196" s="935"/>
      <c r="AD196" s="935"/>
      <c r="AE196" s="935"/>
      <c r="AF196" s="935"/>
      <c r="AG196" s="935"/>
      <c r="AH196" s="935"/>
      <c r="AI196" s="935"/>
      <c r="AJ196" s="935"/>
      <c r="AK196" s="935"/>
      <c r="AL196" s="935"/>
      <c r="AM196" s="935"/>
      <c r="AN196" s="935"/>
      <c r="AO196" s="935"/>
      <c r="AP196" s="935"/>
      <c r="AQ196" s="935"/>
      <c r="AR196" s="935"/>
      <c r="AS196" s="935"/>
      <c r="AT196" s="935"/>
      <c r="AU196" s="935"/>
      <c r="AV196" s="935"/>
      <c r="AW196" s="935"/>
      <c r="AX196" s="935"/>
      <c r="AY196" s="935"/>
      <c r="AZ196" s="935"/>
      <c r="BA196" s="935"/>
      <c r="BB196" s="935"/>
      <c r="BC196" s="935"/>
      <c r="BD196" s="935"/>
      <c r="BE196" s="935"/>
      <c r="BF196" s="935"/>
      <c r="BG196" s="935"/>
      <c r="BH196" s="935"/>
      <c r="BI196" s="935"/>
      <c r="BJ196" s="935"/>
      <c r="BK196" s="935"/>
      <c r="BL196" s="935"/>
      <c r="BM196" s="935"/>
      <c r="BN196" s="935"/>
      <c r="BO196" s="935"/>
      <c r="BP196" s="935"/>
      <c r="BQ196" s="935"/>
      <c r="BR196" s="935"/>
      <c r="BS196" s="935"/>
      <c r="BT196" s="935"/>
    </row>
    <row r="197" spans="1:72" x14ac:dyDescent="0.25">
      <c r="A197" s="935" t="s">
        <v>473</v>
      </c>
      <c r="B197" s="935">
        <v>236.38</v>
      </c>
      <c r="C197" s="935">
        <v>254.66</v>
      </c>
      <c r="D197" s="935">
        <v>235.17</v>
      </c>
      <c r="E197" s="935">
        <v>230.51</v>
      </c>
      <c r="F197" s="935">
        <v>232.31</v>
      </c>
      <c r="G197" s="935">
        <v>244.12</v>
      </c>
      <c r="H197" s="935">
        <v>246.57</v>
      </c>
      <c r="I197" s="935">
        <v>251.37</v>
      </c>
      <c r="J197" s="935">
        <v>257.29000000000002</v>
      </c>
      <c r="K197" s="935">
        <v>266.02999999999997</v>
      </c>
      <c r="L197" s="935">
        <v>273.52999999999997</v>
      </c>
      <c r="M197" s="935">
        <v>281.39999999999998</v>
      </c>
      <c r="N197" s="935">
        <v>289.27</v>
      </c>
      <c r="O197" s="935">
        <v>299.58999999999997</v>
      </c>
      <c r="P197" s="935">
        <v>309.45</v>
      </c>
      <c r="Q197" s="935">
        <v>320.3</v>
      </c>
      <c r="R197" s="935">
        <v>330.83</v>
      </c>
      <c r="S197" s="935">
        <v>341.36</v>
      </c>
      <c r="T197" s="935">
        <v>351.09</v>
      </c>
      <c r="U197" s="935">
        <v>363.72</v>
      </c>
      <c r="V197" s="935">
        <v>377.1</v>
      </c>
      <c r="W197" s="935">
        <v>392.03</v>
      </c>
      <c r="X197" s="935">
        <v>407.27</v>
      </c>
      <c r="Y197" s="935">
        <v>423.22</v>
      </c>
      <c r="Z197" s="935">
        <v>441.01</v>
      </c>
      <c r="AA197" s="935">
        <v>458.4</v>
      </c>
      <c r="AB197" s="935">
        <v>471.99</v>
      </c>
      <c r="AC197" s="935">
        <v>489.06</v>
      </c>
      <c r="AD197" s="935">
        <v>506.03</v>
      </c>
      <c r="AE197" s="974">
        <v>2.5999999999999999E-2</v>
      </c>
      <c r="AF197" s="935"/>
      <c r="AG197" s="935"/>
      <c r="AH197" s="935"/>
      <c r="AI197" s="935"/>
      <c r="AJ197" s="935"/>
      <c r="AK197" s="935"/>
      <c r="AL197" s="935"/>
      <c r="AM197" s="935"/>
      <c r="AN197" s="935"/>
      <c r="AO197" s="935"/>
      <c r="AP197" s="935"/>
      <c r="AQ197" s="935"/>
      <c r="AR197" s="935"/>
      <c r="AS197" s="935"/>
      <c r="AT197" s="935"/>
      <c r="AU197" s="935"/>
      <c r="AV197" s="935"/>
      <c r="AW197" s="935"/>
      <c r="AX197" s="935"/>
      <c r="AY197" s="935"/>
      <c r="AZ197" s="935"/>
      <c r="BA197" s="935"/>
      <c r="BB197" s="935"/>
      <c r="BC197" s="935"/>
      <c r="BD197" s="935"/>
      <c r="BE197" s="935"/>
      <c r="BF197" s="935"/>
      <c r="BG197" s="935"/>
      <c r="BH197" s="935"/>
      <c r="BI197" s="935"/>
      <c r="BJ197" s="935"/>
      <c r="BK197" s="935"/>
      <c r="BL197" s="935"/>
      <c r="BM197" s="935"/>
      <c r="BN197" s="935"/>
      <c r="BO197" s="935"/>
      <c r="BP197" s="935"/>
      <c r="BQ197" s="935"/>
      <c r="BR197" s="935"/>
      <c r="BS197" s="935"/>
      <c r="BT197" s="935"/>
    </row>
    <row r="198" spans="1:72" x14ac:dyDescent="0.25">
      <c r="A198" s="935" t="s">
        <v>480</v>
      </c>
      <c r="B198" s="935">
        <v>172.75</v>
      </c>
      <c r="C198" s="935">
        <v>191.19</v>
      </c>
      <c r="D198" s="935">
        <v>171.27</v>
      </c>
      <c r="E198" s="935">
        <v>168.36</v>
      </c>
      <c r="F198" s="935">
        <v>170.83</v>
      </c>
      <c r="G198" s="935">
        <v>182.74</v>
      </c>
      <c r="H198" s="935">
        <v>187.26</v>
      </c>
      <c r="I198" s="935">
        <v>190.86</v>
      </c>
      <c r="J198" s="935">
        <v>197.13</v>
      </c>
      <c r="K198" s="935">
        <v>205.11</v>
      </c>
      <c r="L198" s="935">
        <v>212.7</v>
      </c>
      <c r="M198" s="935">
        <v>219.88</v>
      </c>
      <c r="N198" s="935">
        <v>226.94</v>
      </c>
      <c r="O198" s="935">
        <v>236.05</v>
      </c>
      <c r="P198" s="935">
        <v>245.65</v>
      </c>
      <c r="Q198" s="935">
        <v>255.58</v>
      </c>
      <c r="R198" s="935">
        <v>265.91000000000003</v>
      </c>
      <c r="S198" s="935">
        <v>275.66000000000003</v>
      </c>
      <c r="T198" s="935">
        <v>285.08999999999997</v>
      </c>
      <c r="U198" s="935">
        <v>296.79000000000002</v>
      </c>
      <c r="V198" s="935">
        <v>309.27</v>
      </c>
      <c r="W198" s="935">
        <v>322.77</v>
      </c>
      <c r="X198" s="935">
        <v>338.69</v>
      </c>
      <c r="Y198" s="935">
        <v>354.37</v>
      </c>
      <c r="Z198" s="935">
        <v>371.75</v>
      </c>
      <c r="AA198" s="935">
        <v>388.64</v>
      </c>
      <c r="AB198" s="935">
        <v>403.84</v>
      </c>
      <c r="AC198" s="935">
        <v>421.34</v>
      </c>
      <c r="AD198" s="935">
        <v>438.74</v>
      </c>
      <c r="AE198" s="974">
        <v>3.1E-2</v>
      </c>
      <c r="AF198" s="935"/>
      <c r="AG198" s="935"/>
      <c r="AH198" s="935"/>
      <c r="AI198" s="935"/>
      <c r="AJ198" s="935"/>
      <c r="AK198" s="935"/>
      <c r="AL198" s="935"/>
      <c r="AM198" s="935"/>
      <c r="AN198" s="935"/>
      <c r="AO198" s="935"/>
      <c r="AP198" s="935"/>
      <c r="AQ198" s="935"/>
      <c r="AR198" s="935"/>
      <c r="AS198" s="935"/>
      <c r="AT198" s="935"/>
      <c r="AU198" s="935"/>
      <c r="AV198" s="935"/>
      <c r="AW198" s="935"/>
      <c r="AX198" s="935"/>
      <c r="AY198" s="935"/>
      <c r="AZ198" s="935"/>
      <c r="BA198" s="935"/>
      <c r="BB198" s="935"/>
      <c r="BC198" s="935"/>
      <c r="BD198" s="935"/>
      <c r="BE198" s="935"/>
      <c r="BF198" s="935"/>
      <c r="BG198" s="935"/>
      <c r="BH198" s="935"/>
      <c r="BI198" s="935"/>
      <c r="BJ198" s="935"/>
      <c r="BK198" s="935"/>
      <c r="BL198" s="935"/>
      <c r="BM198" s="935"/>
      <c r="BN198" s="935"/>
      <c r="BO198" s="935"/>
      <c r="BP198" s="935"/>
      <c r="BQ198" s="935"/>
      <c r="BR198" s="935"/>
      <c r="BS198" s="935"/>
      <c r="BT198" s="935"/>
    </row>
    <row r="199" spans="1:72" x14ac:dyDescent="0.25">
      <c r="A199" s="935" t="s">
        <v>515</v>
      </c>
      <c r="B199" s="935">
        <v>214.89</v>
      </c>
      <c r="C199" s="935">
        <v>244.81</v>
      </c>
      <c r="D199" s="935">
        <v>178.09</v>
      </c>
      <c r="E199" s="935">
        <v>168.16</v>
      </c>
      <c r="F199" s="935">
        <v>181.07</v>
      </c>
      <c r="G199" s="935">
        <v>202.87</v>
      </c>
      <c r="H199" s="935">
        <v>217.07</v>
      </c>
      <c r="I199" s="935">
        <v>227.35</v>
      </c>
      <c r="J199" s="935">
        <v>237.51</v>
      </c>
      <c r="K199" s="935">
        <v>248.26</v>
      </c>
      <c r="L199" s="935">
        <v>257.8</v>
      </c>
      <c r="M199" s="935">
        <v>268.36</v>
      </c>
      <c r="N199" s="935">
        <v>277.25</v>
      </c>
      <c r="O199" s="935">
        <v>287.02999999999997</v>
      </c>
      <c r="P199" s="935">
        <v>295.06</v>
      </c>
      <c r="Q199" s="935">
        <v>303.12</v>
      </c>
      <c r="R199" s="935">
        <v>311.48</v>
      </c>
      <c r="S199" s="935">
        <v>319.60000000000002</v>
      </c>
      <c r="T199" s="935">
        <v>328.09</v>
      </c>
      <c r="U199" s="935">
        <v>336.58</v>
      </c>
      <c r="V199" s="935">
        <v>346.81</v>
      </c>
      <c r="W199" s="935">
        <v>357.93</v>
      </c>
      <c r="X199" s="935">
        <v>370.58</v>
      </c>
      <c r="Y199" s="935">
        <v>382.62</v>
      </c>
      <c r="Z199" s="935">
        <v>397.61</v>
      </c>
      <c r="AA199" s="935">
        <v>409.44</v>
      </c>
      <c r="AB199" s="935">
        <v>421.52</v>
      </c>
      <c r="AC199" s="935">
        <v>436.23</v>
      </c>
      <c r="AD199" s="935">
        <v>449</v>
      </c>
      <c r="AE199" s="974">
        <v>2.3E-2</v>
      </c>
      <c r="AF199" s="935"/>
      <c r="AG199" s="935"/>
      <c r="AH199" s="935"/>
      <c r="AI199" s="935"/>
      <c r="AJ199" s="935"/>
      <c r="AK199" s="935"/>
      <c r="AL199" s="935"/>
      <c r="AM199" s="935"/>
      <c r="AN199" s="935"/>
      <c r="AO199" s="935"/>
      <c r="AP199" s="935"/>
      <c r="AQ199" s="935"/>
      <c r="AR199" s="935"/>
      <c r="AS199" s="935"/>
      <c r="AT199" s="935"/>
      <c r="AU199" s="935"/>
      <c r="AV199" s="935"/>
      <c r="AW199" s="935"/>
      <c r="AX199" s="935"/>
      <c r="AY199" s="935"/>
      <c r="AZ199" s="935"/>
      <c r="BA199" s="935"/>
      <c r="BB199" s="935"/>
      <c r="BC199" s="935"/>
      <c r="BD199" s="935"/>
      <c r="BE199" s="935"/>
      <c r="BF199" s="935"/>
      <c r="BG199" s="935"/>
      <c r="BH199" s="935"/>
      <c r="BI199" s="935"/>
      <c r="BJ199" s="935"/>
      <c r="BK199" s="935"/>
      <c r="BL199" s="935"/>
      <c r="BM199" s="935"/>
      <c r="BN199" s="935"/>
      <c r="BO199" s="935"/>
      <c r="BP199" s="935"/>
      <c r="BQ199" s="935"/>
      <c r="BR199" s="935"/>
      <c r="BS199" s="935"/>
      <c r="BT199" s="935"/>
    </row>
    <row r="200" spans="1:72" x14ac:dyDescent="0.25">
      <c r="A200" s="935" t="s">
        <v>487</v>
      </c>
      <c r="B200" s="935">
        <v>599.94000000000005</v>
      </c>
      <c r="C200" s="935">
        <v>705.86</v>
      </c>
      <c r="D200" s="935">
        <v>472.76</v>
      </c>
      <c r="E200" s="935">
        <v>523.54</v>
      </c>
      <c r="F200" s="935">
        <v>551.54</v>
      </c>
      <c r="G200" s="935">
        <v>600.52</v>
      </c>
      <c r="H200" s="935">
        <v>663.3</v>
      </c>
      <c r="I200" s="935">
        <v>702.29</v>
      </c>
      <c r="J200" s="935">
        <v>730.78</v>
      </c>
      <c r="K200" s="935">
        <v>762.17</v>
      </c>
      <c r="L200" s="935">
        <v>797.53</v>
      </c>
      <c r="M200" s="935">
        <v>828.81</v>
      </c>
      <c r="N200" s="935">
        <v>859.4</v>
      </c>
      <c r="O200" s="935">
        <v>891.87</v>
      </c>
      <c r="P200" s="935">
        <v>920.68</v>
      </c>
      <c r="Q200" s="935">
        <v>948.26</v>
      </c>
      <c r="R200" s="935">
        <v>986.59</v>
      </c>
      <c r="S200" s="935">
        <v>1021.27</v>
      </c>
      <c r="T200" s="935">
        <v>1062.24</v>
      </c>
      <c r="U200" s="935">
        <v>1101.69</v>
      </c>
      <c r="V200" s="935">
        <v>1143.03</v>
      </c>
      <c r="W200" s="935">
        <v>1188</v>
      </c>
      <c r="X200" s="935">
        <v>1232.23</v>
      </c>
      <c r="Y200" s="935">
        <v>1277.8499999999999</v>
      </c>
      <c r="Z200" s="935">
        <v>1321.12</v>
      </c>
      <c r="AA200" s="935">
        <v>1371.03</v>
      </c>
      <c r="AB200" s="935">
        <v>1423.78</v>
      </c>
      <c r="AC200" s="935">
        <v>1471.43</v>
      </c>
      <c r="AD200" s="935">
        <v>1525.95</v>
      </c>
      <c r="AE200" s="974">
        <v>2.9000000000000001E-2</v>
      </c>
      <c r="AF200" s="935"/>
      <c r="AG200" s="935"/>
      <c r="AH200" s="935"/>
      <c r="AI200" s="935"/>
      <c r="AJ200" s="935"/>
      <c r="AK200" s="935"/>
      <c r="AL200" s="935"/>
      <c r="AM200" s="935"/>
      <c r="AN200" s="935"/>
      <c r="AO200" s="935"/>
      <c r="AP200" s="935"/>
      <c r="AQ200" s="935"/>
      <c r="AR200" s="935"/>
      <c r="AS200" s="935"/>
      <c r="AT200" s="935"/>
      <c r="AU200" s="935"/>
      <c r="AV200" s="935"/>
      <c r="AW200" s="935"/>
      <c r="AX200" s="935"/>
      <c r="AY200" s="935"/>
      <c r="AZ200" s="935"/>
      <c r="BA200" s="935"/>
      <c r="BB200" s="935"/>
      <c r="BC200" s="935"/>
      <c r="BD200" s="935"/>
      <c r="BE200" s="935"/>
      <c r="BF200" s="935"/>
      <c r="BG200" s="935"/>
      <c r="BH200" s="935"/>
      <c r="BI200" s="935"/>
      <c r="BJ200" s="935"/>
      <c r="BK200" s="935"/>
      <c r="BL200" s="935"/>
      <c r="BM200" s="935"/>
      <c r="BN200" s="935"/>
      <c r="BO200" s="935"/>
      <c r="BP200" s="935"/>
      <c r="BQ200" s="935"/>
      <c r="BR200" s="935"/>
      <c r="BS200" s="935"/>
      <c r="BT200" s="935"/>
    </row>
    <row r="201" spans="1:72" x14ac:dyDescent="0.25">
      <c r="A201" s="935" t="s">
        <v>516</v>
      </c>
      <c r="B201" s="935">
        <v>1223.96</v>
      </c>
      <c r="C201" s="935">
        <v>1396.52</v>
      </c>
      <c r="D201" s="935">
        <v>1057.29</v>
      </c>
      <c r="E201" s="935">
        <v>1090.58</v>
      </c>
      <c r="F201" s="935">
        <v>1135.76</v>
      </c>
      <c r="G201" s="935">
        <v>1230.25</v>
      </c>
      <c r="H201" s="935">
        <v>1314.19</v>
      </c>
      <c r="I201" s="935">
        <v>1371.86</v>
      </c>
      <c r="J201" s="935">
        <v>1422.72</v>
      </c>
      <c r="K201" s="935">
        <v>1481.57</v>
      </c>
      <c r="L201" s="935">
        <v>1541.56</v>
      </c>
      <c r="M201" s="935">
        <v>1598.45</v>
      </c>
      <c r="N201" s="935">
        <v>1652.86</v>
      </c>
      <c r="O201" s="935">
        <v>1714.54</v>
      </c>
      <c r="P201" s="935">
        <v>1770.84</v>
      </c>
      <c r="Q201" s="935">
        <v>1827.25</v>
      </c>
      <c r="R201" s="935">
        <v>1894.81</v>
      </c>
      <c r="S201" s="935">
        <v>1957.89</v>
      </c>
      <c r="T201" s="935">
        <v>2026.51</v>
      </c>
      <c r="U201" s="935">
        <v>2098.7800000000002</v>
      </c>
      <c r="V201" s="935">
        <v>2176.1999999999998</v>
      </c>
      <c r="W201" s="935">
        <v>2260.73</v>
      </c>
      <c r="X201" s="935">
        <v>2348.7600000000002</v>
      </c>
      <c r="Y201" s="935">
        <v>2438.06</v>
      </c>
      <c r="Z201" s="935">
        <v>2531.5</v>
      </c>
      <c r="AA201" s="935">
        <v>2627.51</v>
      </c>
      <c r="AB201" s="935">
        <v>2721.14</v>
      </c>
      <c r="AC201" s="935">
        <v>2818.06</v>
      </c>
      <c r="AD201" s="935">
        <v>2919.72</v>
      </c>
      <c r="AE201" s="974">
        <v>2.8000000000000001E-2</v>
      </c>
      <c r="AF201" s="935"/>
      <c r="AG201" s="935"/>
      <c r="AH201" s="935"/>
      <c r="AI201" s="935"/>
      <c r="AJ201" s="935"/>
      <c r="AK201" s="935"/>
      <c r="AL201" s="935"/>
      <c r="AM201" s="935"/>
      <c r="AN201" s="935"/>
      <c r="AO201" s="935"/>
      <c r="AP201" s="935"/>
      <c r="AQ201" s="935"/>
      <c r="AR201" s="935"/>
      <c r="AS201" s="935"/>
      <c r="AT201" s="935"/>
      <c r="AU201" s="935"/>
      <c r="AV201" s="935"/>
      <c r="AW201" s="935"/>
      <c r="AX201" s="935"/>
      <c r="AY201" s="935"/>
      <c r="AZ201" s="935"/>
      <c r="BA201" s="935"/>
      <c r="BB201" s="935"/>
      <c r="BC201" s="935"/>
      <c r="BD201" s="935"/>
      <c r="BE201" s="935"/>
      <c r="BF201" s="935"/>
      <c r="BG201" s="935"/>
      <c r="BH201" s="935"/>
      <c r="BI201" s="935"/>
      <c r="BJ201" s="935"/>
      <c r="BK201" s="935"/>
      <c r="BL201" s="935"/>
      <c r="BM201" s="935"/>
      <c r="BN201" s="935"/>
      <c r="BO201" s="935"/>
      <c r="BP201" s="935"/>
      <c r="BQ201" s="935"/>
      <c r="BR201" s="935"/>
      <c r="BS201" s="935"/>
      <c r="BT201" s="935"/>
    </row>
    <row r="202" spans="1:72" x14ac:dyDescent="0.25">
      <c r="A202" s="935" t="s">
        <v>629</v>
      </c>
      <c r="B202" s="935">
        <v>0.04</v>
      </c>
      <c r="C202" s="935">
        <v>0.17</v>
      </c>
      <c r="D202" s="935">
        <v>0.04</v>
      </c>
      <c r="E202" s="935">
        <v>0.09</v>
      </c>
      <c r="F202" s="935">
        <v>0.11</v>
      </c>
      <c r="G202" s="935">
        <v>0.13</v>
      </c>
      <c r="H202" s="935">
        <v>0.16</v>
      </c>
      <c r="I202" s="935">
        <v>0.18</v>
      </c>
      <c r="J202" s="935">
        <v>0.24</v>
      </c>
      <c r="K202" s="935">
        <v>2.65</v>
      </c>
      <c r="L202" s="935">
        <v>3.64</v>
      </c>
      <c r="M202" s="935">
        <v>4.71</v>
      </c>
      <c r="N202" s="935">
        <v>6.36</v>
      </c>
      <c r="O202" s="935">
        <v>8.6999999999999993</v>
      </c>
      <c r="P202" s="935">
        <v>11.96</v>
      </c>
      <c r="Q202" s="935">
        <v>22.18</v>
      </c>
      <c r="R202" s="935">
        <v>20.28</v>
      </c>
      <c r="S202" s="935">
        <v>19.329999999999998</v>
      </c>
      <c r="T202" s="935">
        <v>20.440000000000001</v>
      </c>
      <c r="U202" s="935">
        <v>23.52</v>
      </c>
      <c r="V202" s="935">
        <v>26.81</v>
      </c>
      <c r="W202" s="935">
        <v>29.72</v>
      </c>
      <c r="X202" s="935">
        <v>34.94</v>
      </c>
      <c r="Y202" s="935">
        <v>37.81</v>
      </c>
      <c r="Z202" s="935">
        <v>49.23</v>
      </c>
      <c r="AA202" s="935">
        <v>57.96</v>
      </c>
      <c r="AB202" s="935">
        <v>65.66</v>
      </c>
      <c r="AC202" s="935">
        <v>79.569999999999993</v>
      </c>
      <c r="AD202" s="935">
        <v>94.81</v>
      </c>
      <c r="AE202" s="974">
        <v>0.26500000000000001</v>
      </c>
      <c r="AF202" s="935"/>
      <c r="AG202" s="935"/>
      <c r="AH202" s="935"/>
      <c r="AI202" s="935"/>
      <c r="AJ202" s="935"/>
      <c r="AK202" s="935"/>
      <c r="AL202" s="935"/>
      <c r="AM202" s="935"/>
      <c r="AN202" s="935"/>
      <c r="AO202" s="935"/>
      <c r="AP202" s="935"/>
      <c r="AQ202" s="935"/>
      <c r="AR202" s="935"/>
      <c r="AS202" s="935"/>
      <c r="AT202" s="935"/>
      <c r="AU202" s="935"/>
      <c r="AV202" s="935"/>
      <c r="AW202" s="935"/>
      <c r="AX202" s="935"/>
      <c r="AY202" s="935"/>
      <c r="AZ202" s="935"/>
      <c r="BA202" s="935"/>
      <c r="BB202" s="935"/>
      <c r="BC202" s="935"/>
      <c r="BD202" s="935"/>
      <c r="BE202" s="935"/>
      <c r="BF202" s="935"/>
      <c r="BG202" s="935"/>
      <c r="BH202" s="935"/>
      <c r="BI202" s="935"/>
      <c r="BJ202" s="935"/>
      <c r="BK202" s="935"/>
      <c r="BL202" s="935"/>
      <c r="BM202" s="935"/>
      <c r="BN202" s="935"/>
      <c r="BO202" s="935"/>
      <c r="BP202" s="935"/>
      <c r="BQ202" s="935"/>
      <c r="BR202" s="935"/>
      <c r="BS202" s="935"/>
      <c r="BT202" s="935"/>
    </row>
    <row r="203" spans="1:72" x14ac:dyDescent="0.25">
      <c r="A203" s="935" t="s">
        <v>518</v>
      </c>
      <c r="B203" s="935">
        <v>1224</v>
      </c>
      <c r="C203" s="935">
        <v>1396.69</v>
      </c>
      <c r="D203" s="935">
        <v>1057.33</v>
      </c>
      <c r="E203" s="935">
        <v>1090.67</v>
      </c>
      <c r="F203" s="935">
        <v>1135.8699999999999</v>
      </c>
      <c r="G203" s="935">
        <v>1230.3800000000001</v>
      </c>
      <c r="H203" s="935">
        <v>1314.36</v>
      </c>
      <c r="I203" s="935">
        <v>1372.05</v>
      </c>
      <c r="J203" s="935">
        <v>1422.95</v>
      </c>
      <c r="K203" s="935">
        <v>1484.22</v>
      </c>
      <c r="L203" s="935">
        <v>1545.2</v>
      </c>
      <c r="M203" s="935">
        <v>1603.16</v>
      </c>
      <c r="N203" s="935">
        <v>1659.22</v>
      </c>
      <c r="O203" s="935">
        <v>1723.24</v>
      </c>
      <c r="P203" s="935">
        <v>1782.8</v>
      </c>
      <c r="Q203" s="935">
        <v>1849.44</v>
      </c>
      <c r="R203" s="935">
        <v>1915.09</v>
      </c>
      <c r="S203" s="935">
        <v>1977.22</v>
      </c>
      <c r="T203" s="935">
        <v>2046.94</v>
      </c>
      <c r="U203" s="935">
        <v>2122.3000000000002</v>
      </c>
      <c r="V203" s="935">
        <v>2203.0100000000002</v>
      </c>
      <c r="W203" s="935">
        <v>2290.46</v>
      </c>
      <c r="X203" s="935">
        <v>2383.6999999999998</v>
      </c>
      <c r="Y203" s="935">
        <v>2475.87</v>
      </c>
      <c r="Z203" s="935">
        <v>2580.73</v>
      </c>
      <c r="AA203" s="935">
        <v>2685.47</v>
      </c>
      <c r="AB203" s="935">
        <v>2786.79</v>
      </c>
      <c r="AC203" s="935">
        <v>2897.63</v>
      </c>
      <c r="AD203" s="935">
        <v>3014.53</v>
      </c>
      <c r="AE203" s="974">
        <v>2.9000000000000001E-2</v>
      </c>
      <c r="AF203" s="935"/>
      <c r="AG203" s="935"/>
      <c r="AH203" s="935"/>
      <c r="AI203" s="935"/>
      <c r="AJ203" s="935"/>
      <c r="AK203" s="935"/>
      <c r="AL203" s="935"/>
      <c r="AM203" s="935"/>
      <c r="AN203" s="935"/>
      <c r="AO203" s="935"/>
      <c r="AP203" s="935"/>
      <c r="AQ203" s="935"/>
      <c r="AR203" s="935"/>
      <c r="AS203" s="935"/>
      <c r="AT203" s="935"/>
      <c r="AU203" s="935"/>
      <c r="AV203" s="935"/>
      <c r="AW203" s="935"/>
      <c r="AX203" s="935"/>
      <c r="AY203" s="935"/>
      <c r="AZ203" s="935"/>
      <c r="BA203" s="935"/>
      <c r="BB203" s="935"/>
      <c r="BC203" s="935"/>
      <c r="BD203" s="935"/>
      <c r="BE203" s="935"/>
      <c r="BF203" s="935"/>
      <c r="BG203" s="935"/>
      <c r="BH203" s="935"/>
      <c r="BI203" s="935"/>
      <c r="BJ203" s="935"/>
      <c r="BK203" s="935"/>
      <c r="BL203" s="935"/>
      <c r="BM203" s="935"/>
      <c r="BN203" s="935"/>
      <c r="BO203" s="935"/>
      <c r="BP203" s="935"/>
      <c r="BQ203" s="935"/>
      <c r="BR203" s="935"/>
      <c r="BS203" s="935"/>
      <c r="BT203" s="935"/>
    </row>
    <row r="204" spans="1:72" x14ac:dyDescent="0.25">
      <c r="A204" s="935"/>
      <c r="B204" s="935"/>
      <c r="C204" s="935"/>
      <c r="D204" s="935"/>
      <c r="E204" s="935"/>
      <c r="F204" s="935"/>
      <c r="G204" s="935"/>
      <c r="H204" s="935"/>
      <c r="I204" s="935"/>
      <c r="J204" s="935"/>
      <c r="K204" s="935"/>
      <c r="L204" s="935"/>
      <c r="M204" s="935"/>
      <c r="N204" s="935"/>
      <c r="O204" s="935"/>
      <c r="P204" s="935"/>
      <c r="Q204" s="935"/>
      <c r="R204" s="935"/>
      <c r="S204" s="935"/>
      <c r="T204" s="935"/>
      <c r="U204" s="935"/>
      <c r="V204" s="935"/>
      <c r="W204" s="935"/>
      <c r="X204" s="935"/>
      <c r="Y204" s="935"/>
      <c r="Z204" s="935"/>
      <c r="AA204" s="935"/>
      <c r="AB204" s="935"/>
      <c r="AC204" s="935"/>
      <c r="AD204" s="935"/>
      <c r="AE204" s="935"/>
      <c r="AF204" s="935"/>
      <c r="AG204" s="935"/>
      <c r="AH204" s="935"/>
      <c r="AI204" s="935"/>
      <c r="AJ204" s="935"/>
      <c r="AK204" s="935"/>
      <c r="AL204" s="935"/>
      <c r="AM204" s="935"/>
      <c r="AN204" s="935"/>
      <c r="AO204" s="935"/>
      <c r="AP204" s="935"/>
      <c r="AQ204" s="935"/>
      <c r="AR204" s="935"/>
      <c r="AS204" s="935"/>
      <c r="AT204" s="935"/>
      <c r="AU204" s="935"/>
      <c r="AV204" s="935"/>
      <c r="AW204" s="935"/>
      <c r="AX204" s="935"/>
      <c r="AY204" s="935"/>
      <c r="AZ204" s="935"/>
      <c r="BA204" s="935"/>
      <c r="BB204" s="935"/>
      <c r="BC204" s="935"/>
      <c r="BD204" s="935"/>
      <c r="BE204" s="935"/>
      <c r="BF204" s="935"/>
      <c r="BG204" s="935"/>
      <c r="BH204" s="935"/>
      <c r="BI204" s="935"/>
      <c r="BJ204" s="935"/>
      <c r="BK204" s="935"/>
      <c r="BL204" s="935"/>
      <c r="BM204" s="935"/>
      <c r="BN204" s="935"/>
      <c r="BO204" s="935"/>
      <c r="BP204" s="935"/>
      <c r="BQ204" s="935"/>
      <c r="BR204" s="935"/>
      <c r="BS204" s="935"/>
      <c r="BT204" s="935"/>
    </row>
    <row r="205" spans="1:72" x14ac:dyDescent="0.25">
      <c r="A205" s="935"/>
      <c r="B205" s="935"/>
      <c r="C205" s="935"/>
      <c r="D205" s="935"/>
      <c r="E205" s="935"/>
      <c r="F205" s="935"/>
      <c r="G205" s="935"/>
      <c r="H205" s="935"/>
      <c r="I205" s="935"/>
      <c r="J205" s="935"/>
      <c r="K205" s="935"/>
      <c r="L205" s="935"/>
      <c r="M205" s="935"/>
      <c r="N205" s="935"/>
      <c r="O205" s="935"/>
      <c r="P205" s="935"/>
      <c r="Q205" s="935"/>
      <c r="R205" s="935"/>
      <c r="S205" s="935"/>
      <c r="T205" s="935"/>
      <c r="U205" s="935"/>
      <c r="V205" s="935"/>
      <c r="W205" s="935"/>
      <c r="X205" s="935"/>
      <c r="Y205" s="935"/>
      <c r="Z205" s="935"/>
      <c r="AA205" s="935"/>
      <c r="AB205" s="935"/>
      <c r="AC205" s="935"/>
      <c r="AD205" s="935"/>
      <c r="AE205" s="935"/>
      <c r="AF205" s="935"/>
      <c r="AG205" s="935"/>
      <c r="AH205" s="935"/>
      <c r="AI205" s="935"/>
      <c r="AJ205" s="935"/>
      <c r="AK205" s="935"/>
      <c r="AL205" s="935"/>
      <c r="AM205" s="935"/>
      <c r="AN205" s="935"/>
      <c r="AO205" s="935"/>
      <c r="AP205" s="935"/>
      <c r="AQ205" s="935"/>
      <c r="AR205" s="935"/>
      <c r="AS205" s="935"/>
      <c r="AT205" s="935"/>
      <c r="AU205" s="935"/>
      <c r="AV205" s="935"/>
      <c r="AW205" s="935"/>
      <c r="AX205" s="935"/>
      <c r="AY205" s="935"/>
      <c r="AZ205" s="935"/>
      <c r="BA205" s="935"/>
      <c r="BB205" s="935"/>
      <c r="BC205" s="935"/>
      <c r="BD205" s="935"/>
      <c r="BE205" s="935"/>
      <c r="BF205" s="935"/>
      <c r="BG205" s="935"/>
      <c r="BH205" s="935"/>
      <c r="BI205" s="935"/>
      <c r="BJ205" s="935"/>
      <c r="BK205" s="935"/>
      <c r="BL205" s="935"/>
      <c r="BM205" s="935"/>
      <c r="BN205" s="935"/>
      <c r="BO205" s="935"/>
      <c r="BP205" s="935"/>
      <c r="BQ205" s="935"/>
      <c r="BR205" s="935"/>
      <c r="BS205" s="935"/>
      <c r="BT205" s="935"/>
    </row>
    <row r="206" spans="1:72" x14ac:dyDescent="0.25">
      <c r="A206" s="935"/>
      <c r="B206" s="935"/>
      <c r="C206" s="935"/>
      <c r="D206" s="935"/>
      <c r="E206" s="935"/>
      <c r="F206" s="935"/>
      <c r="G206" s="935"/>
      <c r="H206" s="935"/>
      <c r="I206" s="935"/>
      <c r="J206" s="935"/>
      <c r="K206" s="935"/>
      <c r="L206" s="935"/>
      <c r="M206" s="935"/>
      <c r="N206" s="935"/>
      <c r="O206" s="935"/>
      <c r="P206" s="935"/>
      <c r="Q206" s="935"/>
      <c r="R206" s="935"/>
      <c r="S206" s="935"/>
      <c r="T206" s="935"/>
      <c r="U206" s="935"/>
      <c r="V206" s="935"/>
      <c r="W206" s="935"/>
      <c r="X206" s="935"/>
      <c r="Y206" s="935"/>
      <c r="Z206" s="935"/>
      <c r="AA206" s="935"/>
      <c r="AB206" s="935"/>
      <c r="AC206" s="935"/>
      <c r="AD206" s="935"/>
      <c r="AE206" s="935"/>
      <c r="AF206" s="935"/>
      <c r="AG206" s="935"/>
      <c r="AH206" s="935"/>
      <c r="AI206" s="935"/>
      <c r="AJ206" s="935"/>
      <c r="AK206" s="935"/>
      <c r="AL206" s="935"/>
      <c r="AM206" s="935"/>
      <c r="AN206" s="935"/>
      <c r="AO206" s="935"/>
      <c r="AP206" s="935"/>
      <c r="AQ206" s="935"/>
      <c r="AR206" s="935"/>
      <c r="AS206" s="935"/>
      <c r="AT206" s="935"/>
      <c r="AU206" s="935"/>
      <c r="AV206" s="935"/>
      <c r="AW206" s="935"/>
      <c r="AX206" s="935"/>
      <c r="AY206" s="935"/>
      <c r="AZ206" s="935"/>
      <c r="BA206" s="935"/>
      <c r="BB206" s="935"/>
      <c r="BC206" s="935"/>
      <c r="BD206" s="935"/>
      <c r="BE206" s="935"/>
      <c r="BF206" s="935"/>
      <c r="BG206" s="935"/>
      <c r="BH206" s="935"/>
      <c r="BI206" s="935"/>
      <c r="BJ206" s="935"/>
      <c r="BK206" s="935"/>
      <c r="BL206" s="935"/>
      <c r="BM206" s="935"/>
      <c r="BN206" s="935"/>
      <c r="BO206" s="935"/>
      <c r="BP206" s="935"/>
      <c r="BQ206" s="935"/>
      <c r="BR206" s="935"/>
      <c r="BS206" s="935"/>
      <c r="BT206" s="935"/>
    </row>
    <row r="207" spans="1:72" x14ac:dyDescent="0.25">
      <c r="A207" s="935" t="s">
        <v>630</v>
      </c>
      <c r="B207" s="935"/>
      <c r="C207" s="935"/>
      <c r="D207" s="935"/>
      <c r="E207" s="935"/>
      <c r="F207" s="935"/>
      <c r="G207" s="935"/>
      <c r="H207" s="935"/>
      <c r="I207" s="935"/>
      <c r="J207" s="935"/>
      <c r="K207" s="935"/>
      <c r="L207" s="935"/>
      <c r="M207" s="935"/>
      <c r="N207" s="935"/>
      <c r="O207" s="935"/>
      <c r="P207" s="935"/>
      <c r="Q207" s="935"/>
      <c r="R207" s="935"/>
      <c r="S207" s="935"/>
      <c r="T207" s="935"/>
      <c r="U207" s="935"/>
      <c r="V207" s="935"/>
      <c r="W207" s="935"/>
      <c r="X207" s="935"/>
      <c r="Y207" s="935"/>
      <c r="Z207" s="935"/>
      <c r="AA207" s="935"/>
      <c r="AB207" s="935"/>
      <c r="AC207" s="935"/>
      <c r="AD207" s="935"/>
      <c r="AE207" s="935"/>
      <c r="AF207" s="935"/>
      <c r="AG207" s="935"/>
      <c r="AH207" s="935"/>
      <c r="AI207" s="935"/>
      <c r="AJ207" s="935"/>
      <c r="AK207" s="935"/>
      <c r="AL207" s="935"/>
      <c r="AM207" s="935"/>
      <c r="AN207" s="935"/>
      <c r="AO207" s="935"/>
      <c r="AP207" s="935"/>
      <c r="AQ207" s="935"/>
      <c r="AR207" s="935"/>
      <c r="AS207" s="935"/>
      <c r="AT207" s="935"/>
      <c r="AU207" s="935"/>
      <c r="AV207" s="935"/>
      <c r="AW207" s="935"/>
      <c r="AX207" s="935"/>
      <c r="AY207" s="935"/>
      <c r="AZ207" s="935"/>
      <c r="BA207" s="935"/>
      <c r="BB207" s="935"/>
      <c r="BC207" s="935"/>
      <c r="BD207" s="935"/>
      <c r="BE207" s="935"/>
      <c r="BF207" s="935"/>
      <c r="BG207" s="935"/>
      <c r="BH207" s="935"/>
      <c r="BI207" s="935"/>
      <c r="BJ207" s="935"/>
      <c r="BK207" s="935"/>
      <c r="BL207" s="935"/>
      <c r="BM207" s="935"/>
      <c r="BN207" s="935"/>
      <c r="BO207" s="935"/>
      <c r="BP207" s="935"/>
      <c r="BQ207" s="935"/>
      <c r="BR207" s="935"/>
      <c r="BS207" s="935"/>
      <c r="BT207" s="935"/>
    </row>
    <row r="208" spans="1:72" x14ac:dyDescent="0.25">
      <c r="A208" s="935" t="s">
        <v>631</v>
      </c>
      <c r="B208" s="935"/>
      <c r="C208" s="935"/>
      <c r="D208" s="935"/>
      <c r="E208" s="935"/>
      <c r="F208" s="935"/>
      <c r="G208" s="935"/>
      <c r="H208" s="935"/>
      <c r="I208" s="935"/>
      <c r="J208" s="935"/>
      <c r="K208" s="935"/>
      <c r="L208" s="935"/>
      <c r="M208" s="935"/>
      <c r="N208" s="935"/>
      <c r="O208" s="935"/>
      <c r="P208" s="935"/>
      <c r="Q208" s="935"/>
      <c r="R208" s="935"/>
      <c r="S208" s="935"/>
      <c r="T208" s="935"/>
      <c r="U208" s="935"/>
      <c r="V208" s="935"/>
      <c r="W208" s="935"/>
      <c r="X208" s="935"/>
      <c r="Y208" s="935"/>
      <c r="Z208" s="935"/>
      <c r="AA208" s="935"/>
      <c r="AB208" s="935"/>
      <c r="AC208" s="935"/>
      <c r="AD208" s="935"/>
      <c r="AE208" s="935"/>
      <c r="AF208" s="935"/>
      <c r="AG208" s="935"/>
      <c r="AH208" s="935"/>
      <c r="AI208" s="935"/>
      <c r="AJ208" s="935"/>
      <c r="AK208" s="935"/>
      <c r="AL208" s="935"/>
      <c r="AM208" s="935"/>
      <c r="AN208" s="935"/>
      <c r="AO208" s="935"/>
      <c r="AP208" s="935"/>
      <c r="AQ208" s="935"/>
      <c r="AR208" s="935"/>
      <c r="AS208" s="935"/>
      <c r="AT208" s="935"/>
      <c r="AU208" s="935"/>
      <c r="AV208" s="935"/>
      <c r="AW208" s="935"/>
      <c r="AX208" s="935"/>
      <c r="AY208" s="935"/>
      <c r="AZ208" s="935"/>
      <c r="BA208" s="935"/>
      <c r="BB208" s="935"/>
      <c r="BC208" s="935"/>
      <c r="BD208" s="935"/>
      <c r="BE208" s="935"/>
      <c r="BF208" s="935"/>
      <c r="BG208" s="935"/>
      <c r="BH208" s="935"/>
      <c r="BI208" s="935"/>
      <c r="BJ208" s="935"/>
      <c r="BK208" s="935"/>
      <c r="BL208" s="935"/>
      <c r="BM208" s="935"/>
      <c r="BN208" s="935"/>
      <c r="BO208" s="935"/>
      <c r="BP208" s="935"/>
      <c r="BQ208" s="935"/>
      <c r="BR208" s="935"/>
      <c r="BS208" s="935"/>
      <c r="BT208" s="935"/>
    </row>
    <row r="209" spans="1:72" x14ac:dyDescent="0.25">
      <c r="A209" s="935" t="s">
        <v>632</v>
      </c>
      <c r="B209" s="935"/>
      <c r="C209" s="935"/>
      <c r="D209" s="935"/>
      <c r="E209" s="935"/>
      <c r="F209" s="935"/>
      <c r="G209" s="935"/>
      <c r="H209" s="935"/>
      <c r="I209" s="935"/>
      <c r="J209" s="935"/>
      <c r="K209" s="935"/>
      <c r="L209" s="935"/>
      <c r="M209" s="935"/>
      <c r="N209" s="935"/>
      <c r="O209" s="935"/>
      <c r="P209" s="935"/>
      <c r="Q209" s="935"/>
      <c r="R209" s="935"/>
      <c r="S209" s="935"/>
      <c r="T209" s="935"/>
      <c r="U209" s="935"/>
      <c r="V209" s="935"/>
      <c r="W209" s="935"/>
      <c r="X209" s="935"/>
      <c r="Y209" s="935"/>
      <c r="Z209" s="935"/>
      <c r="AA209" s="935"/>
      <c r="AB209" s="935"/>
      <c r="AC209" s="935"/>
      <c r="AD209" s="935"/>
      <c r="AE209" s="935"/>
      <c r="AF209" s="935"/>
      <c r="AG209" s="935"/>
      <c r="AH209" s="935"/>
      <c r="AI209" s="935"/>
      <c r="AJ209" s="935"/>
      <c r="AK209" s="935"/>
      <c r="AL209" s="935"/>
      <c r="AM209" s="935"/>
      <c r="AN209" s="935"/>
      <c r="AO209" s="935"/>
      <c r="AP209" s="935"/>
      <c r="AQ209" s="935"/>
      <c r="AR209" s="935"/>
      <c r="AS209" s="935"/>
      <c r="AT209" s="935"/>
      <c r="AU209" s="935"/>
      <c r="AV209" s="935"/>
      <c r="AW209" s="935"/>
      <c r="AX209" s="935"/>
      <c r="AY209" s="935"/>
      <c r="AZ209" s="935"/>
      <c r="BA209" s="935"/>
      <c r="BB209" s="935"/>
      <c r="BC209" s="935"/>
      <c r="BD209" s="935"/>
      <c r="BE209" s="935"/>
      <c r="BF209" s="935"/>
      <c r="BG209" s="935"/>
      <c r="BH209" s="935"/>
      <c r="BI209" s="935"/>
      <c r="BJ209" s="935"/>
      <c r="BK209" s="935"/>
      <c r="BL209" s="935"/>
      <c r="BM209" s="935"/>
      <c r="BN209" s="935"/>
      <c r="BO209" s="935"/>
      <c r="BP209" s="935"/>
      <c r="BQ209" s="935"/>
      <c r="BR209" s="935"/>
      <c r="BS209" s="935"/>
      <c r="BT209" s="935"/>
    </row>
    <row r="210" spans="1:72" x14ac:dyDescent="0.25">
      <c r="A210" s="935" t="s">
        <v>790</v>
      </c>
      <c r="B210" s="935"/>
      <c r="C210" s="935"/>
      <c r="D210" s="935"/>
      <c r="E210" s="935"/>
      <c r="F210" s="935"/>
      <c r="G210" s="935"/>
      <c r="H210" s="935"/>
      <c r="I210" s="935"/>
      <c r="J210" s="935"/>
      <c r="K210" s="935"/>
      <c r="L210" s="935"/>
      <c r="M210" s="935"/>
      <c r="N210" s="935"/>
      <c r="O210" s="935"/>
      <c r="P210" s="935"/>
      <c r="Q210" s="935"/>
      <c r="R210" s="935"/>
      <c r="S210" s="935"/>
      <c r="T210" s="935"/>
      <c r="U210" s="935"/>
      <c r="V210" s="935"/>
      <c r="W210" s="935"/>
      <c r="X210" s="935"/>
      <c r="Y210" s="935"/>
      <c r="Z210" s="935"/>
      <c r="AA210" s="935"/>
      <c r="AB210" s="935"/>
      <c r="AC210" s="935"/>
      <c r="AD210" s="935"/>
      <c r="AE210" s="935"/>
      <c r="AF210" s="935"/>
      <c r="AG210" s="935"/>
      <c r="AH210" s="935"/>
      <c r="AI210" s="935"/>
      <c r="AJ210" s="935"/>
      <c r="AK210" s="935"/>
      <c r="AL210" s="935"/>
      <c r="AM210" s="935"/>
      <c r="AN210" s="935"/>
      <c r="AO210" s="935"/>
      <c r="AP210" s="935"/>
      <c r="AQ210" s="935"/>
      <c r="AR210" s="935"/>
      <c r="AS210" s="935"/>
      <c r="AT210" s="935"/>
      <c r="AU210" s="935"/>
      <c r="AV210" s="935"/>
      <c r="AW210" s="935"/>
      <c r="AX210" s="935"/>
      <c r="AY210" s="935"/>
      <c r="AZ210" s="935"/>
      <c r="BA210" s="935"/>
      <c r="BB210" s="935"/>
      <c r="BC210" s="935"/>
      <c r="BD210" s="935"/>
      <c r="BE210" s="935"/>
      <c r="BF210" s="935"/>
      <c r="BG210" s="935"/>
      <c r="BH210" s="935"/>
      <c r="BI210" s="935"/>
      <c r="BJ210" s="935"/>
      <c r="BK210" s="935"/>
      <c r="BL210" s="935"/>
      <c r="BM210" s="935"/>
      <c r="BN210" s="935"/>
      <c r="BO210" s="935"/>
      <c r="BP210" s="935"/>
      <c r="BQ210" s="935"/>
      <c r="BR210" s="935"/>
      <c r="BS210" s="935"/>
      <c r="BT210" s="935"/>
    </row>
    <row r="211" spans="1:72" x14ac:dyDescent="0.25">
      <c r="A211" s="935" t="s">
        <v>791</v>
      </c>
      <c r="B211" s="935"/>
      <c r="C211" s="935"/>
      <c r="D211" s="935"/>
      <c r="E211" s="935"/>
      <c r="F211" s="935"/>
      <c r="G211" s="935"/>
      <c r="H211" s="935"/>
      <c r="I211" s="935"/>
      <c r="J211" s="935"/>
      <c r="K211" s="935"/>
      <c r="L211" s="935"/>
      <c r="M211" s="935"/>
      <c r="N211" s="935"/>
      <c r="O211" s="935"/>
      <c r="P211" s="935"/>
      <c r="Q211" s="935"/>
      <c r="R211" s="935"/>
      <c r="S211" s="935"/>
      <c r="T211" s="935"/>
      <c r="U211" s="935"/>
      <c r="V211" s="935"/>
      <c r="W211" s="935"/>
      <c r="X211" s="935"/>
      <c r="Y211" s="935"/>
      <c r="Z211" s="935"/>
      <c r="AA211" s="935"/>
      <c r="AB211" s="935"/>
      <c r="AC211" s="935"/>
      <c r="AD211" s="935"/>
      <c r="AE211" s="935"/>
      <c r="AF211" s="935"/>
      <c r="AG211" s="935"/>
      <c r="AH211" s="935"/>
      <c r="AI211" s="935"/>
      <c r="AJ211" s="935"/>
      <c r="AK211" s="935"/>
      <c r="AL211" s="935"/>
      <c r="AM211" s="935"/>
      <c r="AN211" s="935"/>
      <c r="AO211" s="935"/>
      <c r="AP211" s="935"/>
      <c r="AQ211" s="935"/>
      <c r="AR211" s="935"/>
      <c r="AS211" s="935"/>
      <c r="AT211" s="935"/>
      <c r="AU211" s="935"/>
      <c r="AV211" s="935"/>
      <c r="AW211" s="935"/>
      <c r="AX211" s="935"/>
      <c r="AY211" s="935"/>
      <c r="AZ211" s="935"/>
      <c r="BA211" s="935"/>
      <c r="BB211" s="935"/>
      <c r="BC211" s="935"/>
      <c r="BD211" s="935"/>
      <c r="BE211" s="935"/>
      <c r="BF211" s="935"/>
      <c r="BG211" s="935"/>
      <c r="BH211" s="935"/>
      <c r="BI211" s="935"/>
      <c r="BJ211" s="935"/>
      <c r="BK211" s="935"/>
      <c r="BL211" s="935"/>
      <c r="BM211" s="935"/>
      <c r="BN211" s="935"/>
      <c r="BO211" s="935"/>
      <c r="BP211" s="935"/>
      <c r="BQ211" s="935"/>
      <c r="BR211" s="935"/>
      <c r="BS211" s="935"/>
      <c r="BT211" s="935"/>
    </row>
    <row r="212" spans="1:72" x14ac:dyDescent="0.25">
      <c r="A212" s="935" t="s">
        <v>649</v>
      </c>
      <c r="B212" s="935"/>
      <c r="C212" s="935"/>
      <c r="D212" s="935"/>
      <c r="E212" s="935"/>
      <c r="F212" s="935"/>
      <c r="G212" s="935"/>
      <c r="H212" s="935"/>
      <c r="I212" s="935"/>
      <c r="J212" s="935"/>
      <c r="K212" s="935"/>
      <c r="L212" s="935"/>
      <c r="M212" s="935"/>
      <c r="N212" s="935"/>
      <c r="O212" s="935"/>
      <c r="P212" s="935"/>
      <c r="Q212" s="935"/>
      <c r="R212" s="935"/>
      <c r="S212" s="935"/>
      <c r="T212" s="935"/>
      <c r="U212" s="935"/>
      <c r="V212" s="935"/>
      <c r="W212" s="935"/>
      <c r="X212" s="935"/>
      <c r="Y212" s="935"/>
      <c r="Z212" s="935"/>
      <c r="AA212" s="935"/>
      <c r="AB212" s="935"/>
      <c r="AC212" s="935"/>
      <c r="AD212" s="935"/>
      <c r="AE212" s="935"/>
      <c r="AF212" s="935"/>
      <c r="AG212" s="935"/>
      <c r="AH212" s="935"/>
      <c r="AI212" s="935"/>
      <c r="AJ212" s="935"/>
      <c r="AK212" s="935"/>
      <c r="AL212" s="935"/>
      <c r="AM212" s="935"/>
      <c r="AN212" s="935"/>
      <c r="AO212" s="935"/>
      <c r="AP212" s="935"/>
      <c r="AQ212" s="935"/>
      <c r="AR212" s="935"/>
      <c r="AS212" s="935"/>
      <c r="AT212" s="935"/>
      <c r="AU212" s="935"/>
      <c r="AV212" s="935"/>
      <c r="AW212" s="935"/>
      <c r="AX212" s="935"/>
      <c r="AY212" s="935"/>
      <c r="AZ212" s="935"/>
      <c r="BA212" s="935"/>
      <c r="BB212" s="935"/>
      <c r="BC212" s="935"/>
      <c r="BD212" s="935"/>
      <c r="BE212" s="935"/>
      <c r="BF212" s="935"/>
      <c r="BG212" s="935"/>
      <c r="BH212" s="935"/>
      <c r="BI212" s="935"/>
      <c r="BJ212" s="935"/>
      <c r="BK212" s="935"/>
      <c r="BL212" s="935"/>
      <c r="BM212" s="935"/>
      <c r="BN212" s="935"/>
      <c r="BO212" s="935"/>
      <c r="BP212" s="935"/>
      <c r="BQ212" s="935"/>
      <c r="BR212" s="935"/>
      <c r="BS212" s="935"/>
      <c r="BT212" s="935"/>
    </row>
    <row r="213" spans="1:72" x14ac:dyDescent="0.25">
      <c r="A213" s="935" t="s">
        <v>650</v>
      </c>
      <c r="B213" s="935"/>
      <c r="C213" s="935"/>
      <c r="D213" s="935"/>
      <c r="E213" s="935"/>
      <c r="F213" s="935"/>
      <c r="G213" s="935"/>
      <c r="H213" s="935"/>
      <c r="I213" s="935"/>
      <c r="J213" s="935"/>
      <c r="K213" s="935"/>
      <c r="L213" s="935"/>
      <c r="M213" s="935"/>
      <c r="N213" s="935"/>
      <c r="O213" s="935"/>
      <c r="P213" s="935"/>
      <c r="Q213" s="935"/>
      <c r="R213" s="935"/>
      <c r="S213" s="935"/>
      <c r="T213" s="935"/>
      <c r="U213" s="935"/>
      <c r="V213" s="935"/>
      <c r="W213" s="935"/>
      <c r="X213" s="935"/>
      <c r="Y213" s="935"/>
      <c r="Z213" s="935"/>
      <c r="AA213" s="935"/>
      <c r="AB213" s="935"/>
      <c r="AC213" s="935"/>
      <c r="AD213" s="935"/>
      <c r="AE213" s="935"/>
      <c r="AF213" s="935"/>
      <c r="AG213" s="935"/>
      <c r="AH213" s="935"/>
      <c r="AI213" s="935"/>
      <c r="AJ213" s="935"/>
      <c r="AK213" s="935"/>
      <c r="AL213" s="935"/>
      <c r="AM213" s="935"/>
      <c r="AN213" s="935"/>
      <c r="AO213" s="935"/>
      <c r="AP213" s="935"/>
      <c r="AQ213" s="935"/>
      <c r="AR213" s="935"/>
      <c r="AS213" s="935"/>
      <c r="AT213" s="935"/>
      <c r="AU213" s="935"/>
      <c r="AV213" s="935"/>
      <c r="AW213" s="935"/>
      <c r="AX213" s="935"/>
      <c r="AY213" s="935"/>
      <c r="AZ213" s="935"/>
      <c r="BA213" s="935"/>
      <c r="BB213" s="935"/>
      <c r="BC213" s="935"/>
      <c r="BD213" s="935"/>
      <c r="BE213" s="935"/>
      <c r="BF213" s="935"/>
      <c r="BG213" s="935"/>
      <c r="BH213" s="935"/>
      <c r="BI213" s="935"/>
      <c r="BJ213" s="935"/>
      <c r="BK213" s="935"/>
      <c r="BL213" s="935"/>
      <c r="BM213" s="935"/>
      <c r="BN213" s="935"/>
      <c r="BO213" s="935"/>
      <c r="BP213" s="935"/>
      <c r="BQ213" s="935"/>
      <c r="BR213" s="935"/>
      <c r="BS213" s="935"/>
      <c r="BT213" s="935"/>
    </row>
    <row r="214" spans="1:72" x14ac:dyDescent="0.25">
      <c r="A214" s="935" t="s">
        <v>651</v>
      </c>
      <c r="B214" s="935"/>
      <c r="C214" s="935"/>
      <c r="D214" s="935"/>
      <c r="E214" s="935"/>
      <c r="F214" s="935"/>
      <c r="G214" s="935"/>
      <c r="H214" s="935"/>
      <c r="I214" s="935"/>
      <c r="J214" s="935"/>
      <c r="K214" s="935"/>
      <c r="L214" s="935"/>
      <c r="M214" s="935"/>
      <c r="N214" s="935"/>
      <c r="O214" s="935"/>
      <c r="P214" s="935"/>
      <c r="Q214" s="935"/>
      <c r="R214" s="935"/>
      <c r="S214" s="935"/>
      <c r="T214" s="935"/>
      <c r="U214" s="935"/>
      <c r="V214" s="935"/>
      <c r="W214" s="935"/>
      <c r="X214" s="935"/>
      <c r="Y214" s="935"/>
      <c r="Z214" s="935"/>
      <c r="AA214" s="935"/>
      <c r="AB214" s="935"/>
      <c r="AC214" s="935"/>
      <c r="AD214" s="935"/>
      <c r="AE214" s="935"/>
      <c r="AF214" s="935"/>
      <c r="AG214" s="935"/>
      <c r="AH214" s="935"/>
      <c r="AI214" s="935"/>
      <c r="AJ214" s="935"/>
      <c r="AK214" s="935"/>
      <c r="AL214" s="935"/>
      <c r="AM214" s="935"/>
      <c r="AN214" s="935"/>
      <c r="AO214" s="935"/>
      <c r="AP214" s="935"/>
      <c r="AQ214" s="935"/>
      <c r="AR214" s="935"/>
      <c r="AS214" s="935"/>
      <c r="AT214" s="935"/>
      <c r="AU214" s="935"/>
      <c r="AV214" s="935"/>
      <c r="AW214" s="935"/>
      <c r="AX214" s="935"/>
      <c r="AY214" s="935"/>
      <c r="AZ214" s="935"/>
      <c r="BA214" s="935"/>
      <c r="BB214" s="935"/>
      <c r="BC214" s="935"/>
      <c r="BD214" s="935"/>
      <c r="BE214" s="935"/>
      <c r="BF214" s="935"/>
      <c r="BG214" s="935"/>
      <c r="BH214" s="935"/>
      <c r="BI214" s="935"/>
      <c r="BJ214" s="935"/>
      <c r="BK214" s="935"/>
      <c r="BL214" s="935"/>
      <c r="BM214" s="935"/>
      <c r="BN214" s="935"/>
      <c r="BO214" s="935"/>
      <c r="BP214" s="935"/>
      <c r="BQ214" s="935"/>
      <c r="BR214" s="935"/>
      <c r="BS214" s="935"/>
      <c r="BT214" s="935"/>
    </row>
    <row r="215" spans="1:72" x14ac:dyDescent="0.25">
      <c r="A215" s="935" t="s">
        <v>652</v>
      </c>
      <c r="B215" s="935"/>
      <c r="C215" s="935"/>
      <c r="D215" s="935"/>
      <c r="E215" s="935"/>
      <c r="F215" s="935"/>
      <c r="G215" s="935"/>
      <c r="H215" s="935"/>
      <c r="I215" s="935"/>
      <c r="J215" s="935"/>
      <c r="K215" s="935"/>
      <c r="L215" s="935"/>
      <c r="M215" s="935"/>
      <c r="N215" s="935"/>
      <c r="O215" s="935"/>
      <c r="P215" s="935"/>
      <c r="Q215" s="935"/>
      <c r="R215" s="935"/>
      <c r="S215" s="935"/>
      <c r="T215" s="935"/>
      <c r="U215" s="935"/>
      <c r="V215" s="935"/>
      <c r="W215" s="935"/>
      <c r="X215" s="935"/>
      <c r="Y215" s="935"/>
      <c r="Z215" s="935"/>
      <c r="AA215" s="935"/>
      <c r="AB215" s="935"/>
      <c r="AC215" s="935"/>
      <c r="AD215" s="935"/>
      <c r="AE215" s="935"/>
      <c r="AF215" s="935"/>
      <c r="AG215" s="935"/>
      <c r="AH215" s="935"/>
      <c r="AI215" s="935"/>
      <c r="AJ215" s="935"/>
      <c r="AK215" s="935"/>
      <c r="AL215" s="935"/>
      <c r="AM215" s="935"/>
      <c r="AN215" s="935"/>
      <c r="AO215" s="935"/>
      <c r="AP215" s="935"/>
      <c r="AQ215" s="935"/>
      <c r="AR215" s="935"/>
      <c r="AS215" s="935"/>
      <c r="AT215" s="935"/>
      <c r="AU215" s="935"/>
      <c r="AV215" s="935"/>
      <c r="AW215" s="935"/>
      <c r="AX215" s="935"/>
      <c r="AY215" s="935"/>
      <c r="AZ215" s="935"/>
      <c r="BA215" s="935"/>
      <c r="BB215" s="935"/>
      <c r="BC215" s="935"/>
      <c r="BD215" s="935"/>
      <c r="BE215" s="935"/>
      <c r="BF215" s="935"/>
      <c r="BG215" s="935"/>
      <c r="BH215" s="935"/>
      <c r="BI215" s="935"/>
      <c r="BJ215" s="935"/>
      <c r="BK215" s="935"/>
      <c r="BL215" s="935"/>
      <c r="BM215" s="935"/>
      <c r="BN215" s="935"/>
      <c r="BO215" s="935"/>
      <c r="BP215" s="935"/>
      <c r="BQ215" s="935"/>
      <c r="BR215" s="935"/>
      <c r="BS215" s="935"/>
      <c r="BT215" s="935"/>
    </row>
    <row r="216" spans="1:72" x14ac:dyDescent="0.25">
      <c r="A216" s="935" t="s">
        <v>653</v>
      </c>
      <c r="B216" s="935"/>
      <c r="C216" s="935"/>
      <c r="D216" s="935"/>
      <c r="E216" s="935"/>
      <c r="F216" s="935"/>
      <c r="G216" s="935"/>
      <c r="H216" s="935"/>
      <c r="I216" s="935"/>
      <c r="J216" s="935"/>
      <c r="K216" s="935"/>
      <c r="L216" s="935"/>
      <c r="M216" s="935"/>
      <c r="N216" s="935"/>
      <c r="O216" s="935"/>
      <c r="P216" s="935"/>
      <c r="Q216" s="935"/>
      <c r="R216" s="935"/>
      <c r="S216" s="935"/>
      <c r="T216" s="935"/>
      <c r="U216" s="935"/>
      <c r="V216" s="935"/>
      <c r="W216" s="935"/>
      <c r="X216" s="935"/>
      <c r="Y216" s="935"/>
      <c r="Z216" s="935"/>
      <c r="AA216" s="935"/>
      <c r="AB216" s="935"/>
      <c r="AC216" s="935"/>
      <c r="AD216" s="935"/>
      <c r="AE216" s="935"/>
      <c r="AF216" s="935"/>
      <c r="AG216" s="935"/>
      <c r="AH216" s="935"/>
      <c r="AI216" s="935"/>
      <c r="AJ216" s="935"/>
      <c r="AK216" s="935"/>
      <c r="AL216" s="935"/>
      <c r="AM216" s="935"/>
      <c r="AN216" s="935"/>
      <c r="AO216" s="935"/>
      <c r="AP216" s="935"/>
      <c r="AQ216" s="935"/>
      <c r="AR216" s="935"/>
      <c r="AS216" s="935"/>
      <c r="AT216" s="935"/>
      <c r="AU216" s="935"/>
      <c r="AV216" s="935"/>
      <c r="AW216" s="935"/>
      <c r="AX216" s="935"/>
      <c r="AY216" s="935"/>
      <c r="AZ216" s="935"/>
      <c r="BA216" s="935"/>
      <c r="BB216" s="935"/>
      <c r="BC216" s="935"/>
      <c r="BD216" s="935"/>
      <c r="BE216" s="935"/>
      <c r="BF216" s="935"/>
      <c r="BG216" s="935"/>
      <c r="BH216" s="935"/>
      <c r="BI216" s="935"/>
      <c r="BJ216" s="935"/>
      <c r="BK216" s="935"/>
      <c r="BL216" s="935"/>
      <c r="BM216" s="935"/>
      <c r="BN216" s="935"/>
      <c r="BO216" s="935"/>
      <c r="BP216" s="935"/>
      <c r="BQ216" s="935"/>
      <c r="BR216" s="935"/>
      <c r="BS216" s="935"/>
      <c r="BT216" s="935"/>
    </row>
    <row r="217" spans="1:72" x14ac:dyDescent="0.25">
      <c r="A217" s="935" t="s">
        <v>654</v>
      </c>
      <c r="B217" s="935"/>
      <c r="C217" s="935"/>
      <c r="D217" s="935"/>
      <c r="E217" s="935"/>
      <c r="F217" s="935"/>
      <c r="G217" s="935"/>
      <c r="H217" s="935"/>
      <c r="I217" s="935"/>
      <c r="J217" s="935"/>
      <c r="K217" s="935"/>
      <c r="L217" s="935"/>
      <c r="M217" s="935"/>
      <c r="N217" s="935"/>
      <c r="O217" s="935"/>
      <c r="P217" s="935"/>
      <c r="Q217" s="935"/>
      <c r="R217" s="935"/>
      <c r="S217" s="935"/>
      <c r="T217" s="935"/>
      <c r="U217" s="935"/>
      <c r="V217" s="935"/>
      <c r="W217" s="935"/>
      <c r="X217" s="935"/>
      <c r="Y217" s="935"/>
      <c r="Z217" s="935"/>
      <c r="AA217" s="935"/>
      <c r="AB217" s="935"/>
      <c r="AC217" s="935"/>
      <c r="AD217" s="935"/>
      <c r="AE217" s="935"/>
      <c r="AF217" s="935"/>
      <c r="AG217" s="935"/>
      <c r="AH217" s="935"/>
      <c r="AI217" s="935"/>
      <c r="AJ217" s="935"/>
      <c r="AK217" s="935"/>
      <c r="AL217" s="935"/>
      <c r="AM217" s="935"/>
      <c r="AN217" s="935"/>
      <c r="AO217" s="935"/>
      <c r="AP217" s="935"/>
      <c r="AQ217" s="935"/>
      <c r="AR217" s="935"/>
      <c r="AS217" s="935"/>
      <c r="AT217" s="935"/>
      <c r="AU217" s="935"/>
      <c r="AV217" s="935"/>
      <c r="AW217" s="935"/>
      <c r="AX217" s="935"/>
      <c r="AY217" s="935"/>
      <c r="AZ217" s="935"/>
      <c r="BA217" s="935"/>
      <c r="BB217" s="935"/>
      <c r="BC217" s="935"/>
      <c r="BD217" s="935"/>
      <c r="BE217" s="935"/>
      <c r="BF217" s="935"/>
      <c r="BG217" s="935"/>
      <c r="BH217" s="935"/>
      <c r="BI217" s="935"/>
      <c r="BJ217" s="935"/>
      <c r="BK217" s="935"/>
      <c r="BL217" s="935"/>
      <c r="BM217" s="935"/>
      <c r="BN217" s="935"/>
      <c r="BO217" s="935"/>
      <c r="BP217" s="935"/>
      <c r="BQ217" s="935"/>
      <c r="BR217" s="935"/>
      <c r="BS217" s="935"/>
      <c r="BT217" s="935"/>
    </row>
    <row r="218" spans="1:72" x14ac:dyDescent="0.25">
      <c r="A218" s="935" t="s">
        <v>545</v>
      </c>
      <c r="B218" s="935"/>
      <c r="C218" s="935"/>
      <c r="D218" s="935"/>
      <c r="E218" s="935"/>
      <c r="F218" s="935"/>
      <c r="G218" s="935"/>
      <c r="H218" s="935"/>
      <c r="I218" s="935"/>
      <c r="J218" s="935"/>
      <c r="K218" s="935"/>
      <c r="L218" s="935"/>
      <c r="M218" s="935"/>
      <c r="N218" s="935"/>
      <c r="O218" s="935"/>
      <c r="P218" s="935"/>
      <c r="Q218" s="935"/>
      <c r="R218" s="935"/>
      <c r="S218" s="935"/>
      <c r="T218" s="935"/>
      <c r="U218" s="935"/>
      <c r="V218" s="935"/>
      <c r="W218" s="935"/>
      <c r="X218" s="935"/>
      <c r="Y218" s="935"/>
      <c r="Z218" s="935"/>
      <c r="AA218" s="935"/>
      <c r="AB218" s="935"/>
      <c r="AC218" s="935"/>
      <c r="AD218" s="935"/>
      <c r="AE218" s="935"/>
      <c r="AF218" s="935"/>
      <c r="AG218" s="935"/>
      <c r="AH218" s="935"/>
      <c r="AI218" s="935"/>
      <c r="AJ218" s="935"/>
      <c r="AK218" s="935"/>
      <c r="AL218" s="935"/>
      <c r="AM218" s="935"/>
      <c r="AN218" s="935"/>
      <c r="AO218" s="935"/>
      <c r="AP218" s="935"/>
      <c r="AQ218" s="935"/>
      <c r="AR218" s="935"/>
      <c r="AS218" s="935"/>
      <c r="AT218" s="935"/>
      <c r="AU218" s="935"/>
      <c r="AV218" s="935"/>
      <c r="AW218" s="935"/>
      <c r="AX218" s="935"/>
      <c r="AY218" s="935"/>
      <c r="AZ218" s="935"/>
      <c r="BA218" s="935"/>
      <c r="BB218" s="935"/>
      <c r="BC218" s="935"/>
      <c r="BD218" s="935"/>
      <c r="BE218" s="935"/>
      <c r="BF218" s="935"/>
      <c r="BG218" s="935"/>
      <c r="BH218" s="935"/>
      <c r="BI218" s="935"/>
      <c r="BJ218" s="935"/>
      <c r="BK218" s="935"/>
      <c r="BL218" s="935"/>
      <c r="BM218" s="935"/>
      <c r="BN218" s="935"/>
      <c r="BO218" s="935"/>
      <c r="BP218" s="935"/>
      <c r="BQ218" s="935"/>
      <c r="BR218" s="935"/>
      <c r="BS218" s="935"/>
      <c r="BT218" s="935"/>
    </row>
    <row r="219" spans="1:72" x14ac:dyDescent="0.25">
      <c r="A219" s="935" t="s">
        <v>730</v>
      </c>
      <c r="B219" s="935"/>
      <c r="C219" s="935"/>
      <c r="D219" s="935"/>
      <c r="E219" s="935"/>
      <c r="F219" s="935"/>
      <c r="G219" s="935"/>
      <c r="H219" s="935"/>
      <c r="I219" s="935"/>
      <c r="J219" s="935"/>
      <c r="K219" s="935"/>
      <c r="L219" s="935"/>
      <c r="M219" s="935"/>
      <c r="N219" s="935"/>
      <c r="O219" s="935"/>
      <c r="P219" s="935"/>
      <c r="Q219" s="935"/>
      <c r="R219" s="935"/>
      <c r="S219" s="935"/>
      <c r="T219" s="935"/>
      <c r="U219" s="935"/>
      <c r="V219" s="935"/>
      <c r="W219" s="935"/>
      <c r="X219" s="935"/>
      <c r="Y219" s="935"/>
      <c r="Z219" s="935"/>
      <c r="AA219" s="935"/>
      <c r="AB219" s="935"/>
      <c r="AC219" s="935"/>
      <c r="AD219" s="935"/>
      <c r="AE219" s="935"/>
      <c r="AF219" s="935"/>
      <c r="AG219" s="935"/>
      <c r="AH219" s="935"/>
      <c r="AI219" s="935"/>
      <c r="AJ219" s="935"/>
      <c r="AK219" s="935"/>
      <c r="AL219" s="935"/>
      <c r="AM219" s="935"/>
      <c r="AN219" s="935"/>
      <c r="AO219" s="935"/>
      <c r="AP219" s="935"/>
      <c r="AQ219" s="935"/>
      <c r="AR219" s="935"/>
      <c r="AS219" s="935"/>
      <c r="AT219" s="935"/>
      <c r="AU219" s="935"/>
      <c r="AV219" s="935"/>
      <c r="AW219" s="935"/>
      <c r="AX219" s="935"/>
      <c r="AY219" s="935"/>
      <c r="AZ219" s="935"/>
      <c r="BA219" s="935"/>
      <c r="BB219" s="935"/>
      <c r="BC219" s="935"/>
      <c r="BD219" s="935"/>
      <c r="BE219" s="935"/>
      <c r="BF219" s="935"/>
      <c r="BG219" s="935"/>
      <c r="BH219" s="935"/>
      <c r="BI219" s="935"/>
      <c r="BJ219" s="935"/>
      <c r="BK219" s="935"/>
      <c r="BL219" s="935"/>
      <c r="BM219" s="935"/>
      <c r="BN219" s="935"/>
      <c r="BO219" s="935"/>
      <c r="BP219" s="935"/>
      <c r="BQ219" s="935"/>
      <c r="BR219" s="935"/>
      <c r="BS219" s="935"/>
      <c r="BT219" s="935"/>
    </row>
    <row r="220" spans="1:72" x14ac:dyDescent="0.25">
      <c r="A220" s="935" t="s">
        <v>792</v>
      </c>
      <c r="B220" s="935"/>
      <c r="C220" s="935"/>
      <c r="D220" s="935"/>
      <c r="E220" s="935"/>
      <c r="F220" s="935"/>
      <c r="G220" s="935"/>
      <c r="H220" s="935"/>
      <c r="I220" s="935"/>
      <c r="J220" s="935"/>
      <c r="K220" s="935"/>
      <c r="L220" s="935"/>
      <c r="M220" s="935"/>
      <c r="N220" s="935"/>
      <c r="O220" s="935"/>
      <c r="P220" s="935"/>
      <c r="Q220" s="935"/>
      <c r="R220" s="935"/>
      <c r="S220" s="935"/>
      <c r="T220" s="935"/>
      <c r="U220" s="935"/>
      <c r="V220" s="935"/>
      <c r="W220" s="935"/>
      <c r="X220" s="935"/>
      <c r="Y220" s="935"/>
      <c r="Z220" s="935"/>
      <c r="AA220" s="935"/>
      <c r="AB220" s="935"/>
      <c r="AC220" s="935"/>
      <c r="AD220" s="935"/>
      <c r="AE220" s="935"/>
      <c r="AF220" s="935"/>
      <c r="AG220" s="935"/>
      <c r="AH220" s="935"/>
      <c r="AI220" s="935"/>
      <c r="AJ220" s="935"/>
      <c r="AK220" s="935"/>
      <c r="AL220" s="935"/>
      <c r="AM220" s="935"/>
      <c r="AN220" s="935"/>
      <c r="AO220" s="935"/>
      <c r="AP220" s="935"/>
      <c r="AQ220" s="935"/>
      <c r="AR220" s="935"/>
      <c r="AS220" s="935"/>
      <c r="AT220" s="935"/>
      <c r="AU220" s="935"/>
      <c r="AV220" s="935"/>
      <c r="AW220" s="935"/>
      <c r="AX220" s="935"/>
      <c r="AY220" s="935"/>
      <c r="AZ220" s="935"/>
      <c r="BA220" s="935"/>
      <c r="BB220" s="935"/>
      <c r="BC220" s="935"/>
      <c r="BD220" s="935"/>
      <c r="BE220" s="935"/>
      <c r="BF220" s="935"/>
      <c r="BG220" s="935"/>
      <c r="BH220" s="935"/>
      <c r="BI220" s="935"/>
      <c r="BJ220" s="935"/>
      <c r="BK220" s="935"/>
      <c r="BL220" s="935"/>
      <c r="BM220" s="935"/>
      <c r="BN220" s="935"/>
      <c r="BO220" s="935"/>
      <c r="BP220" s="935"/>
      <c r="BQ220" s="935"/>
      <c r="BR220" s="935"/>
      <c r="BS220" s="935"/>
      <c r="BT220" s="935"/>
    </row>
    <row r="221" spans="1:72" x14ac:dyDescent="0.25">
      <c r="A221" s="935" t="s">
        <v>793</v>
      </c>
      <c r="B221" s="935"/>
      <c r="C221" s="935"/>
      <c r="D221" s="935"/>
      <c r="E221" s="935"/>
      <c r="F221" s="935"/>
      <c r="G221" s="935"/>
      <c r="H221" s="935"/>
      <c r="I221" s="935"/>
      <c r="J221" s="935"/>
      <c r="K221" s="935"/>
      <c r="L221" s="935"/>
      <c r="M221" s="935"/>
      <c r="N221" s="935"/>
      <c r="O221" s="935"/>
      <c r="P221" s="935"/>
      <c r="Q221" s="935"/>
      <c r="R221" s="935"/>
      <c r="S221" s="935"/>
      <c r="T221" s="935"/>
      <c r="U221" s="935"/>
      <c r="V221" s="935"/>
      <c r="W221" s="935"/>
      <c r="X221" s="935"/>
      <c r="Y221" s="935"/>
      <c r="Z221" s="935"/>
      <c r="AA221" s="935"/>
      <c r="AB221" s="935"/>
      <c r="AC221" s="935"/>
      <c r="AD221" s="935"/>
      <c r="AE221" s="935"/>
      <c r="AF221" s="935"/>
      <c r="AG221" s="935"/>
      <c r="AH221" s="935"/>
      <c r="AI221" s="935"/>
      <c r="AJ221" s="935"/>
      <c r="AK221" s="935"/>
      <c r="AL221" s="935"/>
      <c r="AM221" s="935"/>
      <c r="AN221" s="935"/>
      <c r="AO221" s="935"/>
      <c r="AP221" s="935"/>
      <c r="AQ221" s="935"/>
      <c r="AR221" s="935"/>
      <c r="AS221" s="935"/>
      <c r="AT221" s="935"/>
      <c r="AU221" s="935"/>
      <c r="AV221" s="935"/>
      <c r="AW221" s="935"/>
      <c r="AX221" s="935"/>
      <c r="AY221" s="935"/>
      <c r="AZ221" s="935"/>
      <c r="BA221" s="935"/>
      <c r="BB221" s="935"/>
      <c r="BC221" s="935"/>
      <c r="BD221" s="935"/>
      <c r="BE221" s="935"/>
      <c r="BF221" s="935"/>
      <c r="BG221" s="935"/>
      <c r="BH221" s="935"/>
      <c r="BI221" s="935"/>
      <c r="BJ221" s="935"/>
      <c r="BK221" s="935"/>
      <c r="BL221" s="935"/>
      <c r="BM221" s="935"/>
      <c r="BN221" s="935"/>
      <c r="BO221" s="935"/>
      <c r="BP221" s="935"/>
      <c r="BQ221" s="935"/>
      <c r="BR221" s="935"/>
      <c r="BS221" s="935"/>
      <c r="BT221" s="935"/>
    </row>
    <row r="222" spans="1:72" x14ac:dyDescent="0.25">
      <c r="A222" s="935" t="s">
        <v>794</v>
      </c>
      <c r="B222" s="935"/>
      <c r="C222" s="935"/>
      <c r="D222" s="935"/>
      <c r="E222" s="935"/>
      <c r="F222" s="935"/>
      <c r="G222" s="935"/>
      <c r="H222" s="935"/>
      <c r="I222" s="935"/>
      <c r="J222" s="935"/>
      <c r="K222" s="935"/>
      <c r="L222" s="935"/>
      <c r="M222" s="935"/>
      <c r="N222" s="935"/>
      <c r="O222" s="935"/>
      <c r="P222" s="935"/>
      <c r="Q222" s="935"/>
      <c r="R222" s="935"/>
      <c r="S222" s="935"/>
      <c r="T222" s="935"/>
      <c r="U222" s="935"/>
      <c r="V222" s="935"/>
      <c r="W222" s="935"/>
      <c r="X222" s="935"/>
      <c r="Y222" s="935"/>
      <c r="Z222" s="935"/>
      <c r="AA222" s="935"/>
      <c r="AB222" s="935"/>
      <c r="AC222" s="935"/>
      <c r="AD222" s="935"/>
      <c r="AE222" s="935"/>
      <c r="AF222" s="935"/>
      <c r="AG222" s="935"/>
      <c r="AH222" s="935"/>
      <c r="AI222" s="935"/>
      <c r="AJ222" s="935"/>
      <c r="AK222" s="935"/>
      <c r="AL222" s="935"/>
      <c r="AM222" s="935"/>
      <c r="AN222" s="935"/>
      <c r="AO222" s="935"/>
      <c r="AP222" s="935"/>
      <c r="AQ222" s="935"/>
      <c r="AR222" s="935"/>
      <c r="AS222" s="935"/>
      <c r="AT222" s="935"/>
      <c r="AU222" s="935"/>
      <c r="AV222" s="935"/>
      <c r="AW222" s="935"/>
      <c r="AX222" s="935"/>
      <c r="AY222" s="935"/>
      <c r="AZ222" s="935"/>
      <c r="BA222" s="935"/>
      <c r="BB222" s="935"/>
      <c r="BC222" s="935"/>
      <c r="BD222" s="935"/>
      <c r="BE222" s="935"/>
      <c r="BF222" s="935"/>
      <c r="BG222" s="935"/>
      <c r="BH222" s="935"/>
      <c r="BI222" s="935"/>
      <c r="BJ222" s="935"/>
      <c r="BK222" s="935"/>
      <c r="BL222" s="935"/>
      <c r="BM222" s="935"/>
      <c r="BN222" s="935"/>
      <c r="BO222" s="935"/>
      <c r="BP222" s="935"/>
      <c r="BQ222" s="935"/>
      <c r="BR222" s="935"/>
      <c r="BS222" s="935"/>
      <c r="BT222" s="935"/>
    </row>
    <row r="223" spans="1:72" x14ac:dyDescent="0.25">
      <c r="A223" s="935" t="s">
        <v>795</v>
      </c>
      <c r="B223" s="935"/>
      <c r="C223" s="935"/>
      <c r="D223" s="935"/>
      <c r="E223" s="935"/>
      <c r="F223" s="935"/>
      <c r="G223" s="935"/>
      <c r="H223" s="935"/>
      <c r="I223" s="935"/>
      <c r="J223" s="935"/>
      <c r="K223" s="935"/>
      <c r="L223" s="935"/>
      <c r="M223" s="935"/>
      <c r="N223" s="935"/>
      <c r="O223" s="935"/>
      <c r="P223" s="935"/>
      <c r="Q223" s="935"/>
      <c r="R223" s="935"/>
      <c r="S223" s="935"/>
      <c r="T223" s="935"/>
      <c r="U223" s="935"/>
      <c r="V223" s="935"/>
      <c r="W223" s="935"/>
      <c r="X223" s="935"/>
      <c r="Y223" s="935"/>
      <c r="Z223" s="935"/>
      <c r="AA223" s="935"/>
      <c r="AB223" s="935"/>
      <c r="AC223" s="935"/>
      <c r="AD223" s="935"/>
      <c r="AE223" s="935"/>
      <c r="AF223" s="935"/>
      <c r="AG223" s="935"/>
      <c r="AH223" s="935"/>
      <c r="AI223" s="935"/>
      <c r="AJ223" s="935"/>
      <c r="AK223" s="935"/>
      <c r="AL223" s="935"/>
      <c r="AM223" s="935"/>
      <c r="AN223" s="935"/>
      <c r="AO223" s="935"/>
      <c r="AP223" s="935"/>
      <c r="AQ223" s="935"/>
      <c r="AR223" s="935"/>
      <c r="AS223" s="935"/>
      <c r="AT223" s="935"/>
      <c r="AU223" s="935"/>
      <c r="AV223" s="935"/>
      <c r="AW223" s="935"/>
      <c r="AX223" s="935"/>
      <c r="AY223" s="935"/>
      <c r="AZ223" s="935"/>
      <c r="BA223" s="935"/>
      <c r="BB223" s="935"/>
      <c r="BC223" s="935"/>
      <c r="BD223" s="935"/>
      <c r="BE223" s="935"/>
      <c r="BF223" s="935"/>
      <c r="BG223" s="935"/>
      <c r="BH223" s="935"/>
      <c r="BI223" s="935"/>
      <c r="BJ223" s="935"/>
      <c r="BK223" s="935"/>
      <c r="BL223" s="935"/>
      <c r="BM223" s="935"/>
      <c r="BN223" s="935"/>
      <c r="BO223" s="935"/>
      <c r="BP223" s="935"/>
      <c r="BQ223" s="935"/>
      <c r="BR223" s="935"/>
      <c r="BS223" s="935"/>
      <c r="BT223" s="935"/>
    </row>
    <row r="224" spans="1:72" x14ac:dyDescent="0.25">
      <c r="A224" s="935" t="s">
        <v>796</v>
      </c>
      <c r="B224" s="935"/>
      <c r="C224" s="935"/>
      <c r="D224" s="935"/>
      <c r="E224" s="935"/>
      <c r="F224" s="935"/>
      <c r="G224" s="935"/>
      <c r="H224" s="935"/>
      <c r="I224" s="935"/>
      <c r="J224" s="935"/>
      <c r="K224" s="935"/>
      <c r="L224" s="935"/>
      <c r="M224" s="935"/>
      <c r="N224" s="935"/>
      <c r="O224" s="935"/>
      <c r="P224" s="935"/>
      <c r="Q224" s="935"/>
      <c r="R224" s="935"/>
      <c r="S224" s="935"/>
      <c r="T224" s="935"/>
      <c r="U224" s="935"/>
      <c r="V224" s="935"/>
      <c r="W224" s="935"/>
      <c r="X224" s="935"/>
      <c r="Y224" s="935"/>
      <c r="Z224" s="935"/>
      <c r="AA224" s="935"/>
      <c r="AB224" s="935"/>
      <c r="AC224" s="935"/>
      <c r="AD224" s="935"/>
      <c r="AE224" s="935"/>
      <c r="AF224" s="935"/>
      <c r="AG224" s="935"/>
      <c r="AH224" s="935"/>
      <c r="AI224" s="935"/>
      <c r="AJ224" s="935"/>
      <c r="AK224" s="935"/>
      <c r="AL224" s="935"/>
      <c r="AM224" s="935"/>
      <c r="AN224" s="935"/>
      <c r="AO224" s="935"/>
      <c r="AP224" s="935"/>
      <c r="AQ224" s="935"/>
      <c r="AR224" s="935"/>
      <c r="AS224" s="935"/>
      <c r="AT224" s="935"/>
      <c r="AU224" s="935"/>
      <c r="AV224" s="935"/>
      <c r="AW224" s="935"/>
      <c r="AX224" s="935"/>
      <c r="AY224" s="935"/>
      <c r="AZ224" s="935"/>
      <c r="BA224" s="935"/>
      <c r="BB224" s="935"/>
      <c r="BC224" s="935"/>
      <c r="BD224" s="935"/>
      <c r="BE224" s="935"/>
      <c r="BF224" s="935"/>
      <c r="BG224" s="935"/>
      <c r="BH224" s="935"/>
      <c r="BI224" s="935"/>
      <c r="BJ224" s="935"/>
      <c r="BK224" s="935"/>
      <c r="BL224" s="935"/>
      <c r="BM224" s="935"/>
      <c r="BN224" s="935"/>
      <c r="BO224" s="935"/>
      <c r="BP224" s="935"/>
      <c r="BQ224" s="935"/>
      <c r="BR224" s="935"/>
      <c r="BS224" s="935"/>
      <c r="BT224" s="935"/>
    </row>
    <row r="225" spans="1:72" x14ac:dyDescent="0.25">
      <c r="A225" s="935" t="s">
        <v>797</v>
      </c>
      <c r="B225" s="935"/>
      <c r="C225" s="935"/>
      <c r="D225" s="935"/>
      <c r="E225" s="935"/>
      <c r="F225" s="935"/>
      <c r="G225" s="935"/>
      <c r="H225" s="935"/>
      <c r="I225" s="935"/>
      <c r="J225" s="935"/>
      <c r="K225" s="935"/>
      <c r="L225" s="935"/>
      <c r="M225" s="935"/>
      <c r="N225" s="935"/>
      <c r="O225" s="935"/>
      <c r="P225" s="935"/>
      <c r="Q225" s="935"/>
      <c r="R225" s="935"/>
      <c r="S225" s="935"/>
      <c r="T225" s="935"/>
      <c r="U225" s="935"/>
      <c r="V225" s="935"/>
      <c r="W225" s="935"/>
      <c r="X225" s="935"/>
      <c r="Y225" s="935"/>
      <c r="Z225" s="935"/>
      <c r="AA225" s="935"/>
      <c r="AB225" s="935"/>
      <c r="AC225" s="935"/>
      <c r="AD225" s="935"/>
      <c r="AE225" s="935"/>
      <c r="AF225" s="935"/>
      <c r="AG225" s="935"/>
      <c r="AH225" s="935"/>
      <c r="AI225" s="935"/>
      <c r="AJ225" s="935"/>
      <c r="AK225" s="935"/>
      <c r="AL225" s="935"/>
      <c r="AM225" s="935"/>
      <c r="AN225" s="935"/>
      <c r="AO225" s="935"/>
      <c r="AP225" s="935"/>
      <c r="AQ225" s="935"/>
      <c r="AR225" s="935"/>
      <c r="AS225" s="935"/>
      <c r="AT225" s="935"/>
      <c r="AU225" s="935"/>
      <c r="AV225" s="935"/>
      <c r="AW225" s="935"/>
      <c r="AX225" s="935"/>
      <c r="AY225" s="935"/>
      <c r="AZ225" s="935"/>
      <c r="BA225" s="935"/>
      <c r="BB225" s="935"/>
      <c r="BC225" s="935"/>
      <c r="BD225" s="935"/>
      <c r="BE225" s="935"/>
      <c r="BF225" s="935"/>
      <c r="BG225" s="935"/>
      <c r="BH225" s="935"/>
      <c r="BI225" s="935"/>
      <c r="BJ225" s="935"/>
      <c r="BK225" s="935"/>
      <c r="BL225" s="935"/>
      <c r="BM225" s="935"/>
      <c r="BN225" s="935"/>
      <c r="BO225" s="935"/>
      <c r="BP225" s="935"/>
      <c r="BQ225" s="935"/>
      <c r="BR225" s="935"/>
      <c r="BS225" s="935"/>
      <c r="BT225" s="935"/>
    </row>
    <row r="226" spans="1:72" x14ac:dyDescent="0.25">
      <c r="A226" s="935" t="s">
        <v>798</v>
      </c>
      <c r="B226" s="935"/>
      <c r="C226" s="935"/>
      <c r="D226" s="935"/>
      <c r="E226" s="935"/>
      <c r="F226" s="935"/>
      <c r="G226" s="935"/>
      <c r="H226" s="935"/>
      <c r="I226" s="935"/>
      <c r="J226" s="935"/>
      <c r="K226" s="935"/>
      <c r="L226" s="935"/>
      <c r="M226" s="935"/>
      <c r="N226" s="935"/>
      <c r="O226" s="935"/>
      <c r="P226" s="935"/>
      <c r="Q226" s="935"/>
      <c r="R226" s="935"/>
      <c r="S226" s="935"/>
      <c r="T226" s="935"/>
      <c r="U226" s="935"/>
      <c r="V226" s="935"/>
      <c r="W226" s="935"/>
      <c r="X226" s="935"/>
      <c r="Y226" s="935"/>
      <c r="Z226" s="935"/>
      <c r="AA226" s="935"/>
      <c r="AB226" s="935"/>
      <c r="AC226" s="935"/>
      <c r="AD226" s="935"/>
      <c r="AE226" s="935"/>
      <c r="AF226" s="935"/>
      <c r="AG226" s="935"/>
      <c r="AH226" s="935"/>
      <c r="AI226" s="935"/>
      <c r="AJ226" s="935"/>
      <c r="AK226" s="935"/>
      <c r="AL226" s="935"/>
      <c r="AM226" s="935"/>
      <c r="AN226" s="935"/>
      <c r="AO226" s="935"/>
      <c r="AP226" s="935"/>
      <c r="AQ226" s="935"/>
      <c r="AR226" s="935"/>
      <c r="AS226" s="935"/>
      <c r="AT226" s="935"/>
      <c r="AU226" s="935"/>
      <c r="AV226" s="935"/>
      <c r="AW226" s="935"/>
      <c r="AX226" s="935"/>
      <c r="AY226" s="935"/>
      <c r="AZ226" s="935"/>
      <c r="BA226" s="935"/>
      <c r="BB226" s="935"/>
      <c r="BC226" s="935"/>
      <c r="BD226" s="935"/>
      <c r="BE226" s="935"/>
      <c r="BF226" s="935"/>
      <c r="BG226" s="935"/>
      <c r="BH226" s="935"/>
      <c r="BI226" s="935"/>
      <c r="BJ226" s="935"/>
      <c r="BK226" s="935"/>
      <c r="BL226" s="935"/>
      <c r="BM226" s="935"/>
      <c r="BN226" s="935"/>
      <c r="BO226" s="935"/>
      <c r="BP226" s="935"/>
      <c r="BQ226" s="935"/>
      <c r="BR226" s="935"/>
      <c r="BS226" s="935"/>
      <c r="BT226" s="935"/>
    </row>
    <row r="227" spans="1:72" x14ac:dyDescent="0.25">
      <c r="A227" s="935" t="s">
        <v>799</v>
      </c>
      <c r="B227" s="935"/>
      <c r="C227" s="935"/>
      <c r="D227" s="935"/>
      <c r="E227" s="935"/>
      <c r="F227" s="935"/>
      <c r="G227" s="935"/>
      <c r="H227" s="935"/>
      <c r="I227" s="935"/>
      <c r="J227" s="935"/>
      <c r="K227" s="935"/>
      <c r="L227" s="935"/>
      <c r="M227" s="935"/>
      <c r="N227" s="935"/>
      <c r="O227" s="935"/>
      <c r="P227" s="935"/>
      <c r="Q227" s="935"/>
      <c r="R227" s="935"/>
      <c r="S227" s="935"/>
      <c r="T227" s="935"/>
      <c r="U227" s="935"/>
      <c r="V227" s="935"/>
      <c r="W227" s="935"/>
      <c r="X227" s="935"/>
      <c r="Y227" s="935"/>
      <c r="Z227" s="935"/>
      <c r="AA227" s="935"/>
      <c r="AB227" s="935"/>
      <c r="AC227" s="935"/>
      <c r="AD227" s="935"/>
      <c r="AE227" s="935"/>
      <c r="AF227" s="935"/>
      <c r="AG227" s="935"/>
      <c r="AH227" s="935"/>
      <c r="AI227" s="935"/>
      <c r="AJ227" s="935"/>
      <c r="AK227" s="935"/>
      <c r="AL227" s="935"/>
      <c r="AM227" s="935"/>
      <c r="AN227" s="935"/>
      <c r="AO227" s="935"/>
      <c r="AP227" s="935"/>
      <c r="AQ227" s="935"/>
      <c r="AR227" s="935"/>
      <c r="AS227" s="935"/>
      <c r="AT227" s="935"/>
      <c r="AU227" s="935"/>
      <c r="AV227" s="935"/>
      <c r="AW227" s="935"/>
      <c r="AX227" s="935"/>
      <c r="AY227" s="935"/>
      <c r="AZ227" s="935"/>
      <c r="BA227" s="935"/>
      <c r="BB227" s="935"/>
      <c r="BC227" s="935"/>
      <c r="BD227" s="935"/>
      <c r="BE227" s="935"/>
      <c r="BF227" s="935"/>
      <c r="BG227" s="935"/>
      <c r="BH227" s="935"/>
      <c r="BI227" s="935"/>
      <c r="BJ227" s="935"/>
      <c r="BK227" s="935"/>
      <c r="BL227" s="935"/>
      <c r="BM227" s="935"/>
      <c r="BN227" s="935"/>
      <c r="BO227" s="935"/>
      <c r="BP227" s="935"/>
      <c r="BQ227" s="935"/>
      <c r="BR227" s="935"/>
      <c r="BS227" s="935"/>
      <c r="BT227" s="935"/>
    </row>
    <row r="228" spans="1:72" x14ac:dyDescent="0.25">
      <c r="A228" s="935" t="s">
        <v>800</v>
      </c>
      <c r="B228" s="935"/>
      <c r="C228" s="935"/>
      <c r="D228" s="935"/>
      <c r="E228" s="935"/>
      <c r="F228" s="935"/>
      <c r="G228" s="935"/>
      <c r="H228" s="935"/>
      <c r="I228" s="935"/>
      <c r="J228" s="935"/>
      <c r="K228" s="935"/>
      <c r="L228" s="935"/>
      <c r="M228" s="935"/>
      <c r="N228" s="935"/>
      <c r="O228" s="935"/>
      <c r="P228" s="935"/>
      <c r="Q228" s="935"/>
      <c r="R228" s="935"/>
      <c r="S228" s="935"/>
      <c r="T228" s="935"/>
      <c r="U228" s="935"/>
      <c r="V228" s="935"/>
      <c r="W228" s="935"/>
      <c r="X228" s="935"/>
      <c r="Y228" s="935"/>
      <c r="Z228" s="935"/>
      <c r="AA228" s="935"/>
      <c r="AB228" s="935"/>
      <c r="AC228" s="935"/>
      <c r="AD228" s="935"/>
      <c r="AE228" s="935"/>
      <c r="AF228" s="935"/>
      <c r="AG228" s="935"/>
      <c r="AH228" s="935"/>
      <c r="AI228" s="935"/>
      <c r="AJ228" s="935"/>
      <c r="AK228" s="935"/>
      <c r="AL228" s="935"/>
      <c r="AM228" s="935"/>
      <c r="AN228" s="935"/>
      <c r="AO228" s="935"/>
      <c r="AP228" s="935"/>
      <c r="AQ228" s="935"/>
      <c r="AR228" s="935"/>
      <c r="AS228" s="935"/>
      <c r="AT228" s="935"/>
      <c r="AU228" s="935"/>
      <c r="AV228" s="935"/>
      <c r="AW228" s="935"/>
      <c r="AX228" s="935"/>
      <c r="AY228" s="935"/>
      <c r="AZ228" s="935"/>
      <c r="BA228" s="935"/>
      <c r="BB228" s="935"/>
      <c r="BC228" s="935"/>
      <c r="BD228" s="935"/>
      <c r="BE228" s="935"/>
      <c r="BF228" s="935"/>
      <c r="BG228" s="935"/>
      <c r="BH228" s="935"/>
      <c r="BI228" s="935"/>
      <c r="BJ228" s="935"/>
      <c r="BK228" s="935"/>
      <c r="BL228" s="935"/>
      <c r="BM228" s="935"/>
      <c r="BN228" s="935"/>
      <c r="BO228" s="935"/>
      <c r="BP228" s="935"/>
      <c r="BQ228" s="935"/>
      <c r="BR228" s="935"/>
      <c r="BS228" s="935"/>
      <c r="BT228" s="935"/>
    </row>
    <row r="229" spans="1:72" x14ac:dyDescent="0.25">
      <c r="A229" s="935" t="s">
        <v>801</v>
      </c>
      <c r="B229" s="935"/>
      <c r="C229" s="935"/>
      <c r="D229" s="935"/>
      <c r="E229" s="935"/>
      <c r="F229" s="935"/>
      <c r="G229" s="935"/>
      <c r="H229" s="935"/>
      <c r="I229" s="935"/>
      <c r="J229" s="935"/>
      <c r="K229" s="935"/>
      <c r="L229" s="935"/>
      <c r="M229" s="935"/>
      <c r="N229" s="935"/>
      <c r="O229" s="935"/>
      <c r="P229" s="935"/>
      <c r="Q229" s="935"/>
      <c r="R229" s="935"/>
      <c r="S229" s="935"/>
      <c r="T229" s="935"/>
      <c r="U229" s="935"/>
      <c r="V229" s="935"/>
      <c r="W229" s="935"/>
      <c r="X229" s="935"/>
      <c r="Y229" s="935"/>
      <c r="Z229" s="935"/>
      <c r="AA229" s="935"/>
      <c r="AB229" s="935"/>
      <c r="AC229" s="935"/>
      <c r="AD229" s="935"/>
      <c r="AE229" s="935"/>
      <c r="AF229" s="935"/>
      <c r="AG229" s="935"/>
      <c r="AH229" s="935"/>
      <c r="AI229" s="935"/>
      <c r="AJ229" s="935"/>
      <c r="AK229" s="935"/>
      <c r="AL229" s="935"/>
      <c r="AM229" s="935"/>
      <c r="AN229" s="935"/>
      <c r="AO229" s="935"/>
      <c r="AP229" s="935"/>
      <c r="AQ229" s="935"/>
      <c r="AR229" s="935"/>
      <c r="AS229" s="935"/>
      <c r="AT229" s="935"/>
      <c r="AU229" s="935"/>
      <c r="AV229" s="935"/>
      <c r="AW229" s="935"/>
      <c r="AX229" s="935"/>
      <c r="AY229" s="935"/>
      <c r="AZ229" s="935"/>
      <c r="BA229" s="935"/>
      <c r="BB229" s="935"/>
      <c r="BC229" s="935"/>
      <c r="BD229" s="935"/>
      <c r="BE229" s="935"/>
      <c r="BF229" s="935"/>
      <c r="BG229" s="935"/>
      <c r="BH229" s="935"/>
      <c r="BI229" s="935"/>
      <c r="BJ229" s="935"/>
      <c r="BK229" s="935"/>
      <c r="BL229" s="935"/>
      <c r="BM229" s="935"/>
      <c r="BN229" s="935"/>
      <c r="BO229" s="935"/>
      <c r="BP229" s="935"/>
      <c r="BQ229" s="935"/>
      <c r="BR229" s="935"/>
      <c r="BS229" s="935"/>
      <c r="BT229" s="935"/>
    </row>
    <row r="230" spans="1:72" x14ac:dyDescent="0.25">
      <c r="A230" s="935" t="s">
        <v>802</v>
      </c>
      <c r="B230" s="935"/>
      <c r="C230" s="935"/>
      <c r="D230" s="935"/>
      <c r="E230" s="935"/>
      <c r="F230" s="935"/>
      <c r="G230" s="935"/>
      <c r="H230" s="935"/>
      <c r="I230" s="935"/>
      <c r="J230" s="935"/>
      <c r="K230" s="935"/>
      <c r="L230" s="935"/>
      <c r="M230" s="935"/>
      <c r="N230" s="935"/>
      <c r="O230" s="935"/>
      <c r="P230" s="935"/>
      <c r="Q230" s="935"/>
      <c r="R230" s="935"/>
      <c r="S230" s="935"/>
      <c r="T230" s="935"/>
      <c r="U230" s="935"/>
      <c r="V230" s="935"/>
      <c r="W230" s="935"/>
      <c r="X230" s="935"/>
      <c r="Y230" s="935"/>
      <c r="Z230" s="935"/>
      <c r="AA230" s="935"/>
      <c r="AB230" s="935"/>
      <c r="AC230" s="935"/>
      <c r="AD230" s="935"/>
      <c r="AE230" s="935"/>
      <c r="AF230" s="935"/>
      <c r="AG230" s="935"/>
      <c r="AH230" s="935"/>
      <c r="AI230" s="935"/>
      <c r="AJ230" s="935"/>
      <c r="AK230" s="935"/>
      <c r="AL230" s="935"/>
      <c r="AM230" s="935"/>
      <c r="AN230" s="935"/>
      <c r="AO230" s="935"/>
      <c r="AP230" s="935"/>
      <c r="AQ230" s="935"/>
      <c r="AR230" s="935"/>
      <c r="AS230" s="935"/>
      <c r="AT230" s="935"/>
      <c r="AU230" s="935"/>
      <c r="AV230" s="935"/>
      <c r="AW230" s="935"/>
      <c r="AX230" s="935"/>
      <c r="AY230" s="935"/>
      <c r="AZ230" s="935"/>
      <c r="BA230" s="935"/>
      <c r="BB230" s="935"/>
      <c r="BC230" s="935"/>
      <c r="BD230" s="935"/>
      <c r="BE230" s="935"/>
      <c r="BF230" s="935"/>
      <c r="BG230" s="935"/>
      <c r="BH230" s="935"/>
      <c r="BI230" s="935"/>
      <c r="BJ230" s="935"/>
      <c r="BK230" s="935"/>
      <c r="BL230" s="935"/>
      <c r="BM230" s="935"/>
      <c r="BN230" s="935"/>
      <c r="BO230" s="935"/>
      <c r="BP230" s="935"/>
      <c r="BQ230" s="935"/>
      <c r="BR230" s="935"/>
      <c r="BS230" s="935"/>
      <c r="BT230" s="935"/>
    </row>
    <row r="231" spans="1:72" x14ac:dyDescent="0.25">
      <c r="A231" s="935" t="s">
        <v>803</v>
      </c>
      <c r="B231" s="935"/>
      <c r="C231" s="935"/>
      <c r="D231" s="935"/>
      <c r="E231" s="935"/>
      <c r="F231" s="935"/>
      <c r="G231" s="935"/>
      <c r="H231" s="935"/>
      <c r="I231" s="935"/>
      <c r="J231" s="935"/>
      <c r="K231" s="935"/>
      <c r="L231" s="935"/>
      <c r="M231" s="935"/>
      <c r="N231" s="935"/>
      <c r="O231" s="935"/>
      <c r="P231" s="935"/>
      <c r="Q231" s="935"/>
      <c r="R231" s="935"/>
      <c r="S231" s="935"/>
      <c r="T231" s="935"/>
      <c r="U231" s="935"/>
      <c r="V231" s="935"/>
      <c r="W231" s="935"/>
      <c r="X231" s="935"/>
      <c r="Y231" s="935"/>
      <c r="Z231" s="935"/>
      <c r="AA231" s="935"/>
      <c r="AB231" s="935"/>
      <c r="AC231" s="935"/>
      <c r="AD231" s="935"/>
      <c r="AE231" s="935"/>
      <c r="AF231" s="935"/>
      <c r="AG231" s="935"/>
      <c r="AH231" s="935"/>
      <c r="AI231" s="935"/>
      <c r="AJ231" s="935"/>
      <c r="AK231" s="935"/>
      <c r="AL231" s="935"/>
      <c r="AM231" s="935"/>
      <c r="AN231" s="935"/>
      <c r="AO231" s="935"/>
      <c r="AP231" s="935"/>
      <c r="AQ231" s="935"/>
      <c r="AR231" s="935"/>
      <c r="AS231" s="935"/>
      <c r="AT231" s="935"/>
      <c r="AU231" s="935"/>
      <c r="AV231" s="935"/>
      <c r="AW231" s="935"/>
      <c r="AX231" s="935"/>
      <c r="AY231" s="935"/>
      <c r="AZ231" s="935"/>
      <c r="BA231" s="935"/>
      <c r="BB231" s="935"/>
      <c r="BC231" s="935"/>
      <c r="BD231" s="935"/>
      <c r="BE231" s="935"/>
      <c r="BF231" s="935"/>
      <c r="BG231" s="935"/>
      <c r="BH231" s="935"/>
      <c r="BI231" s="935"/>
      <c r="BJ231" s="935"/>
      <c r="BK231" s="935"/>
      <c r="BL231" s="935"/>
      <c r="BM231" s="935"/>
      <c r="BN231" s="935"/>
      <c r="BO231" s="935"/>
      <c r="BP231" s="935"/>
      <c r="BQ231" s="935"/>
      <c r="BR231" s="935"/>
      <c r="BS231" s="935"/>
      <c r="BT231" s="935"/>
    </row>
    <row r="232" spans="1:72" x14ac:dyDescent="0.25">
      <c r="A232" s="935" t="s">
        <v>804</v>
      </c>
      <c r="B232" s="935"/>
      <c r="C232" s="935"/>
      <c r="D232" s="935"/>
      <c r="E232" s="935"/>
      <c r="F232" s="935"/>
      <c r="G232" s="935"/>
      <c r="H232" s="935"/>
      <c r="I232" s="935"/>
      <c r="J232" s="935"/>
      <c r="K232" s="935"/>
      <c r="L232" s="935"/>
      <c r="M232" s="935"/>
      <c r="N232" s="935"/>
      <c r="O232" s="935"/>
      <c r="P232" s="935"/>
      <c r="Q232" s="935"/>
      <c r="R232" s="935"/>
      <c r="S232" s="935"/>
      <c r="T232" s="935"/>
      <c r="U232" s="935"/>
      <c r="V232" s="935"/>
      <c r="W232" s="935"/>
      <c r="X232" s="935"/>
      <c r="Y232" s="935"/>
      <c r="Z232" s="935"/>
      <c r="AA232" s="935"/>
      <c r="AB232" s="935"/>
      <c r="AC232" s="935"/>
      <c r="AD232" s="935"/>
      <c r="AE232" s="935"/>
      <c r="AF232" s="935"/>
      <c r="AG232" s="935"/>
      <c r="AH232" s="935"/>
      <c r="AI232" s="935"/>
      <c r="AJ232" s="935"/>
      <c r="AK232" s="935"/>
      <c r="AL232" s="935"/>
      <c r="AM232" s="935"/>
      <c r="AN232" s="935"/>
      <c r="AO232" s="935"/>
      <c r="AP232" s="935"/>
      <c r="AQ232" s="935"/>
      <c r="AR232" s="935"/>
      <c r="AS232" s="935"/>
      <c r="AT232" s="935"/>
      <c r="AU232" s="935"/>
      <c r="AV232" s="935"/>
      <c r="AW232" s="935"/>
      <c r="AX232" s="935"/>
      <c r="AY232" s="935"/>
      <c r="AZ232" s="935"/>
      <c r="BA232" s="935"/>
      <c r="BB232" s="935"/>
      <c r="BC232" s="935"/>
      <c r="BD232" s="935"/>
      <c r="BE232" s="935"/>
      <c r="BF232" s="935"/>
      <c r="BG232" s="935"/>
      <c r="BH232" s="935"/>
      <c r="BI232" s="935"/>
      <c r="BJ232" s="935"/>
      <c r="BK232" s="935"/>
      <c r="BL232" s="935"/>
      <c r="BM232" s="935"/>
      <c r="BN232" s="935"/>
      <c r="BO232" s="935"/>
      <c r="BP232" s="935"/>
      <c r="BQ232" s="935"/>
      <c r="BR232" s="935"/>
      <c r="BS232" s="935"/>
      <c r="BT232" s="935"/>
    </row>
    <row r="233" spans="1:72" x14ac:dyDescent="0.25">
      <c r="A233" s="912" t="s">
        <v>805</v>
      </c>
      <c r="AA233" s="306"/>
      <c r="AB233" s="306"/>
      <c r="AC233" s="306"/>
      <c r="AD233" s="306"/>
    </row>
    <row r="234" spans="1:72" x14ac:dyDescent="0.25">
      <c r="A234" s="912" t="s">
        <v>806</v>
      </c>
      <c r="AA234" s="306"/>
      <c r="AB234" s="306"/>
      <c r="AC234" s="306"/>
      <c r="AD234" s="306"/>
    </row>
    <row r="235" spans="1:72" x14ac:dyDescent="0.25">
      <c r="A235" s="912" t="s">
        <v>718</v>
      </c>
      <c r="B235" t="s">
        <v>719</v>
      </c>
      <c r="C235" t="s">
        <v>720</v>
      </c>
      <c r="E235" t="s">
        <v>721</v>
      </c>
      <c r="AA235" s="306"/>
      <c r="AB235" s="306"/>
      <c r="AC235" s="306"/>
      <c r="AD235" s="306"/>
    </row>
    <row r="236" spans="1:72" x14ac:dyDescent="0.25">
      <c r="AA236" s="306"/>
      <c r="AB236" s="306"/>
      <c r="AC236" s="306"/>
      <c r="AD236" s="306"/>
    </row>
    <row r="237" spans="1:72" x14ac:dyDescent="0.25">
      <c r="A237" s="912" t="s">
        <v>447</v>
      </c>
      <c r="AA237" s="306"/>
      <c r="AB237" s="306"/>
      <c r="AC237" s="306"/>
      <c r="AD237" s="306"/>
    </row>
    <row r="238" spans="1:72" x14ac:dyDescent="0.25">
      <c r="A238" s="912" t="s">
        <v>722</v>
      </c>
      <c r="AA238" s="306"/>
      <c r="AB238" s="306"/>
      <c r="AC238" s="306"/>
      <c r="AD238" s="306"/>
    </row>
    <row r="239" spans="1:72" x14ac:dyDescent="0.25">
      <c r="AA239" s="306"/>
      <c r="AB239" s="306"/>
      <c r="AC239" s="306"/>
      <c r="AD239" s="306"/>
    </row>
    <row r="240" spans="1:72" x14ac:dyDescent="0.25">
      <c r="AA240" s="306"/>
      <c r="AB240" s="306"/>
      <c r="AC240" s="306"/>
      <c r="AD240" s="306"/>
    </row>
    <row r="241" spans="1:70" x14ac:dyDescent="0.25">
      <c r="AA241" s="306"/>
      <c r="AB241" s="306"/>
      <c r="AC241" s="306"/>
      <c r="AD241" s="306"/>
    </row>
    <row r="242" spans="1:70" x14ac:dyDescent="0.25">
      <c r="B242" s="913" t="s">
        <v>453</v>
      </c>
      <c r="C242" s="913" t="s">
        <v>454</v>
      </c>
      <c r="D242" s="913" t="s">
        <v>455</v>
      </c>
      <c r="E242" s="913" t="s">
        <v>456</v>
      </c>
      <c r="F242" s="913" t="s">
        <v>457</v>
      </c>
      <c r="G242" s="913" t="s">
        <v>458</v>
      </c>
      <c r="H242" s="913" t="s">
        <v>459</v>
      </c>
      <c r="I242" s="913" t="s">
        <v>460</v>
      </c>
      <c r="J242" s="913" t="s">
        <v>461</v>
      </c>
      <c r="K242" s="913" t="s">
        <v>462</v>
      </c>
      <c r="L242" s="913" t="s">
        <v>463</v>
      </c>
      <c r="M242" s="913" t="s">
        <v>464</v>
      </c>
      <c r="N242" s="913" t="s">
        <v>465</v>
      </c>
      <c r="O242" s="913" t="s">
        <v>466</v>
      </c>
      <c r="P242" s="913" t="s">
        <v>467</v>
      </c>
      <c r="Q242" s="913" t="s">
        <v>468</v>
      </c>
      <c r="R242" s="913" t="s">
        <v>469</v>
      </c>
      <c r="S242" s="913" t="s">
        <v>470</v>
      </c>
      <c r="T242" s="913" t="s">
        <v>471</v>
      </c>
      <c r="U242" s="913" t="s">
        <v>472</v>
      </c>
      <c r="V242" s="913" t="s">
        <v>604</v>
      </c>
      <c r="W242" s="913" t="s">
        <v>605</v>
      </c>
      <c r="X242" s="913" t="s">
        <v>606</v>
      </c>
      <c r="Y242" s="913" t="s">
        <v>607</v>
      </c>
      <c r="Z242" s="913"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6"/>
      <c r="AB243" s="306"/>
      <c r="AC243" s="306"/>
      <c r="AD243" s="306"/>
    </row>
    <row r="244" spans="1:70" x14ac:dyDescent="0.25">
      <c r="AA244" s="306"/>
      <c r="AB244" s="306"/>
      <c r="AC244" s="306"/>
      <c r="AD244" s="306"/>
    </row>
    <row r="245" spans="1:70" x14ac:dyDescent="0.25">
      <c r="A245" s="912" t="s">
        <v>473</v>
      </c>
      <c r="AA245" s="306"/>
      <c r="AB245" s="306"/>
      <c r="AC245" s="306"/>
      <c r="AD245" s="306"/>
    </row>
    <row r="246" spans="1:70" x14ac:dyDescent="0.25">
      <c r="A246" s="912" t="s">
        <v>609</v>
      </c>
      <c r="B246" s="914">
        <v>23.882804870605501</v>
      </c>
      <c r="C246" s="914">
        <v>24.973464965820298</v>
      </c>
      <c r="D246" s="914">
        <v>28.470840454101602</v>
      </c>
      <c r="E246" s="914">
        <v>21.505495071411101</v>
      </c>
      <c r="F246" s="914">
        <v>20.697200775146499</v>
      </c>
      <c r="G246" s="914">
        <v>23.0020751953125</v>
      </c>
      <c r="H246" s="914">
        <v>24.980747222900401</v>
      </c>
      <c r="I246" s="914">
        <v>26.7403888702393</v>
      </c>
      <c r="J246" s="914">
        <v>28.254840850830099</v>
      </c>
      <c r="K246" s="914">
        <v>29.8807067871094</v>
      </c>
      <c r="L246" s="914">
        <v>30.930690765380898</v>
      </c>
      <c r="M246" s="914">
        <v>31.804765701293899</v>
      </c>
      <c r="N246" s="914">
        <v>32.682899475097699</v>
      </c>
      <c r="O246" s="914">
        <v>33.084945678710902</v>
      </c>
      <c r="P246" s="914">
        <v>33.339298248291001</v>
      </c>
      <c r="Q246" s="914">
        <v>33.569530487060497</v>
      </c>
      <c r="R246" s="914">
        <v>33.692008972167997</v>
      </c>
      <c r="S246" s="914">
        <v>34.029460906982401</v>
      </c>
      <c r="T246" s="914">
        <v>34.165733337402301</v>
      </c>
      <c r="U246" s="914">
        <v>33.722698211669901</v>
      </c>
      <c r="V246" s="914">
        <v>33.999015808105497</v>
      </c>
      <c r="W246" s="914">
        <v>34.276668548583999</v>
      </c>
      <c r="X246" s="914">
        <v>34.616855621337898</v>
      </c>
      <c r="Y246" s="914">
        <v>34.804977416992202</v>
      </c>
      <c r="Z246" s="914">
        <v>35.163482666015597</v>
      </c>
      <c r="AA246" s="306">
        <v>23.653226852416999</v>
      </c>
      <c r="AB246" s="306">
        <v>23.781959533691399</v>
      </c>
      <c r="AC246" s="306">
        <v>23.869001388549801</v>
      </c>
      <c r="AD246" s="306">
        <v>23.909082412719702</v>
      </c>
    </row>
    <row r="247" spans="1:70" x14ac:dyDescent="0.25">
      <c r="A247" s="912" t="s">
        <v>610</v>
      </c>
      <c r="B247" s="914">
        <v>18.4642543792725</v>
      </c>
      <c r="C247" s="914">
        <v>19.664405822753899</v>
      </c>
      <c r="D247" s="914">
        <v>23.940315246581999</v>
      </c>
      <c r="E247" s="914">
        <v>15.6857194900513</v>
      </c>
      <c r="F247" s="914">
        <v>13.3512983322144</v>
      </c>
      <c r="G247" s="914">
        <v>15.708171844482401</v>
      </c>
      <c r="H247" s="914">
        <v>17.491518020629901</v>
      </c>
      <c r="I247" s="914">
        <v>18.8044624328613</v>
      </c>
      <c r="J247" s="914">
        <v>20.071212768554702</v>
      </c>
      <c r="K247" s="914">
        <v>21.571735382080099</v>
      </c>
      <c r="L247" s="914">
        <v>22.444984436035199</v>
      </c>
      <c r="M247" s="914">
        <v>23.2645053863525</v>
      </c>
      <c r="N247" s="914">
        <v>23.975505828857401</v>
      </c>
      <c r="O247" s="914">
        <v>24.350082397460898</v>
      </c>
      <c r="P247" s="914">
        <v>24.6401481628418</v>
      </c>
      <c r="Q247" s="914">
        <v>24.7862453460693</v>
      </c>
      <c r="R247" s="914">
        <v>24.899822235107401</v>
      </c>
      <c r="S247" s="914">
        <v>25.1952934265137</v>
      </c>
      <c r="T247" s="914">
        <v>25.492937088012699</v>
      </c>
      <c r="U247" s="914">
        <v>25.134300231933601</v>
      </c>
      <c r="V247" s="914">
        <v>25.433099746704102</v>
      </c>
      <c r="W247" s="914">
        <v>25.7546691894531</v>
      </c>
      <c r="X247" s="914">
        <v>26.098386764526399</v>
      </c>
      <c r="Y247" s="914">
        <v>26.3820476531982</v>
      </c>
      <c r="Z247" s="914">
        <v>26.7700805664063</v>
      </c>
      <c r="AA247" s="306">
        <v>13.801754951477101</v>
      </c>
      <c r="AB247" s="306">
        <v>13.897899627685501</v>
      </c>
      <c r="AC247" s="306">
        <v>14.058331489563001</v>
      </c>
      <c r="AD247" s="306">
        <v>14.125551223754901</v>
      </c>
    </row>
    <row r="248" spans="1:70" x14ac:dyDescent="0.25">
      <c r="A248" s="912" t="s">
        <v>510</v>
      </c>
      <c r="B248" s="914">
        <v>13.7000589370728</v>
      </c>
      <c r="C248" s="914">
        <v>12.691158294677701</v>
      </c>
      <c r="D248" s="914">
        <v>12.9778490066528</v>
      </c>
      <c r="E248" s="914">
        <v>10.717614173889199</v>
      </c>
      <c r="F248" s="914">
        <v>11.192774772644</v>
      </c>
      <c r="G248" s="914">
        <v>11.487280845642101</v>
      </c>
      <c r="H248" s="914">
        <v>11.3991556167603</v>
      </c>
      <c r="I248" s="914">
        <v>11.307798385620099</v>
      </c>
      <c r="J248" s="914">
        <v>11.2896461486816</v>
      </c>
      <c r="K248" s="914">
        <v>11.345415115356399</v>
      </c>
      <c r="L248" s="914">
        <v>11.538298606872599</v>
      </c>
      <c r="M248" s="914">
        <v>11.7583208084106</v>
      </c>
      <c r="N248" s="914">
        <v>11.975100517272899</v>
      </c>
      <c r="O248" s="914">
        <v>12.23952293396</v>
      </c>
      <c r="P248" s="914">
        <v>12.557071685791</v>
      </c>
      <c r="Q248" s="914">
        <v>12.7957820892334</v>
      </c>
      <c r="R248" s="914">
        <v>12.871651649475099</v>
      </c>
      <c r="S248" s="914">
        <v>12.660281181335399</v>
      </c>
      <c r="T248" s="914">
        <v>12.6240320205688</v>
      </c>
      <c r="U248" s="914">
        <v>12.5992183685303</v>
      </c>
      <c r="V248" s="914">
        <v>12.7868556976318</v>
      </c>
      <c r="W248" s="914">
        <v>13.07555103302</v>
      </c>
      <c r="X248" s="914">
        <v>13.407883644104</v>
      </c>
      <c r="Y248" s="914">
        <v>13.6725673675537</v>
      </c>
      <c r="Z248" s="914">
        <v>13.962038993835399</v>
      </c>
      <c r="AA248" s="306">
        <v>11.116808891296399</v>
      </c>
      <c r="AB248" s="306">
        <v>11.2574377059937</v>
      </c>
      <c r="AC248" s="306">
        <v>11.3709173202515</v>
      </c>
      <c r="AD248" s="306">
        <v>11.426144599914601</v>
      </c>
    </row>
    <row r="249" spans="1:70" x14ac:dyDescent="0.25">
      <c r="A249" s="912" t="s">
        <v>479</v>
      </c>
      <c r="B249" s="914">
        <v>31.206779479980501</v>
      </c>
      <c r="C249" s="914">
        <v>31.181957244873001</v>
      </c>
      <c r="D249" s="914">
        <v>31.772819519043001</v>
      </c>
      <c r="E249" s="914">
        <v>30.736837387085</v>
      </c>
      <c r="F249" s="914">
        <v>28.616357803344702</v>
      </c>
      <c r="G249" s="914">
        <v>29.873619079589801</v>
      </c>
      <c r="H249" s="914">
        <v>30.101655960083001</v>
      </c>
      <c r="I249" s="914">
        <v>30.425390243530298</v>
      </c>
      <c r="J249" s="914">
        <v>30.7938537597656</v>
      </c>
      <c r="K249" s="914">
        <v>30.883028030395501</v>
      </c>
      <c r="L249" s="914">
        <v>31.149145126342798</v>
      </c>
      <c r="M249" s="914">
        <v>31.4898681640625</v>
      </c>
      <c r="N249" s="914">
        <v>31.815629959106399</v>
      </c>
      <c r="O249" s="914">
        <v>32.020698547363303</v>
      </c>
      <c r="P249" s="914">
        <v>32.4303588867188</v>
      </c>
      <c r="Q249" s="914">
        <v>32.7907905578613</v>
      </c>
      <c r="R249" s="914">
        <v>32.994007110595703</v>
      </c>
      <c r="S249" s="914">
        <v>32.923465728759801</v>
      </c>
      <c r="T249" s="914">
        <v>32.920154571533203</v>
      </c>
      <c r="U249" s="914">
        <v>32.902271270752003</v>
      </c>
      <c r="V249" s="914">
        <v>32.958240509033203</v>
      </c>
      <c r="W249" s="914">
        <v>33.321102142333999</v>
      </c>
      <c r="X249" s="914">
        <v>33.734363555908203</v>
      </c>
      <c r="Y249" s="914">
        <v>34.149539947509801</v>
      </c>
      <c r="Z249" s="914">
        <v>34.490489959716797</v>
      </c>
      <c r="AA249" s="306">
        <v>26.5695495605469</v>
      </c>
      <c r="AB249" s="306">
        <v>26.6057014465332</v>
      </c>
      <c r="AC249" s="306">
        <v>26.7373046875</v>
      </c>
      <c r="AD249" s="306">
        <v>26.757972717285199</v>
      </c>
    </row>
    <row r="250" spans="1:70" x14ac:dyDescent="0.25">
      <c r="AA250" s="306"/>
      <c r="AB250" s="306"/>
      <c r="AC250" s="306"/>
      <c r="AD250" s="306"/>
    </row>
    <row r="251" spans="1:70" x14ac:dyDescent="0.25">
      <c r="A251" s="912" t="s">
        <v>480</v>
      </c>
      <c r="AA251" s="306">
        <v>12.0537929534912</v>
      </c>
      <c r="AB251" s="306">
        <v>12.2529897689819</v>
      </c>
      <c r="AC251" s="306">
        <v>12.3258762359619</v>
      </c>
      <c r="AD251" s="306">
        <v>12.452996253967299</v>
      </c>
    </row>
    <row r="252" spans="1:70" ht="13" thickBot="1" x14ac:dyDescent="0.3">
      <c r="A252" s="912" t="s">
        <v>609</v>
      </c>
      <c r="B252" s="914">
        <v>21.1974983215332</v>
      </c>
      <c r="C252" s="914">
        <v>23.041419982910199</v>
      </c>
      <c r="D252" s="914">
        <v>23.540430068969702</v>
      </c>
      <c r="E252" s="914">
        <v>20.975297927856399</v>
      </c>
      <c r="F252" s="914">
        <v>17.540355682373001</v>
      </c>
      <c r="G252" s="914">
        <v>19.827720642089801</v>
      </c>
      <c r="H252" s="914">
        <v>21.7962131500244</v>
      </c>
      <c r="I252" s="914">
        <v>23.5440998077393</v>
      </c>
      <c r="J252" s="914">
        <v>25.047388076782202</v>
      </c>
      <c r="K252" s="914">
        <v>26.6623840332031</v>
      </c>
      <c r="L252" s="914">
        <v>27.701774597168001</v>
      </c>
      <c r="M252" s="914">
        <v>28.565574645996101</v>
      </c>
      <c r="N252" s="914">
        <v>29.4346523284912</v>
      </c>
      <c r="O252" s="914">
        <v>29.8274021148682</v>
      </c>
      <c r="P252" s="914">
        <v>30.0731811523438</v>
      </c>
      <c r="Q252" s="914">
        <v>30.2960014343262</v>
      </c>
      <c r="R252" s="914">
        <v>30.4115695953369</v>
      </c>
      <c r="S252" s="914">
        <v>30.7421360015869</v>
      </c>
      <c r="T252" s="914">
        <v>30.871879577636701</v>
      </c>
      <c r="U252" s="914">
        <v>30.422807693481399</v>
      </c>
      <c r="V252" s="914">
        <v>30.6932373046875</v>
      </c>
      <c r="W252" s="914">
        <v>30.965314865112301</v>
      </c>
      <c r="X252" s="914">
        <v>31.299940109252901</v>
      </c>
      <c r="Y252" s="914">
        <v>31.482862472534201</v>
      </c>
      <c r="Z252" s="914">
        <v>31.836189270019499</v>
      </c>
      <c r="AA252" s="306">
        <v>7.3951959609985396</v>
      </c>
      <c r="AB252" s="306">
        <v>7.4624595642089799</v>
      </c>
      <c r="AC252" s="306">
        <v>7.2386937141418501</v>
      </c>
      <c r="AD252" s="306">
        <v>7.3113985061645499</v>
      </c>
    </row>
    <row r="253" spans="1:70" ht="13" thickBot="1" x14ac:dyDescent="0.3">
      <c r="A253" s="912" t="s">
        <v>610</v>
      </c>
      <c r="B253" s="914">
        <v>15.019946098327599</v>
      </c>
      <c r="C253" s="914">
        <v>16.054100036621101</v>
      </c>
      <c r="D253" s="914">
        <v>20.9568576812744</v>
      </c>
      <c r="E253" s="914">
        <v>13.740292549133301</v>
      </c>
      <c r="F253" s="914">
        <v>10.759732246398899</v>
      </c>
      <c r="G253" s="914">
        <v>13.277551651001</v>
      </c>
      <c r="H253" s="914">
        <v>15.102119445800801</v>
      </c>
      <c r="I253" s="914">
        <v>16.819028854370099</v>
      </c>
      <c r="J253" s="914">
        <v>18.163129806518601</v>
      </c>
      <c r="K253" s="914">
        <v>19.404659271240199</v>
      </c>
      <c r="L253" s="914">
        <v>20.2805690765381</v>
      </c>
      <c r="M253" s="914">
        <v>21.141357421875</v>
      </c>
      <c r="N253" s="914">
        <v>21.870569229126001</v>
      </c>
      <c r="O253" s="914">
        <v>22.288406372070298</v>
      </c>
      <c r="P253" s="914">
        <v>22.606428146362301</v>
      </c>
      <c r="Q253" s="914">
        <v>22.643785476684599</v>
      </c>
      <c r="R253" s="914">
        <v>22.862098693847699</v>
      </c>
      <c r="S253" s="914">
        <v>23.111530303955099</v>
      </c>
      <c r="T253" s="914">
        <v>23.2818489074707</v>
      </c>
      <c r="U253" s="914">
        <v>23.1139316558838</v>
      </c>
      <c r="V253" s="914">
        <v>23.4434604644775</v>
      </c>
      <c r="W253" s="914">
        <v>23.529294967651399</v>
      </c>
      <c r="X253" s="914">
        <v>23.9437866210938</v>
      </c>
      <c r="Y253" s="914">
        <v>24.471529006958001</v>
      </c>
      <c r="Z253" s="914">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 thickBot="1" x14ac:dyDescent="0.3">
      <c r="A254" s="912" t="s">
        <v>723</v>
      </c>
      <c r="B254" s="914">
        <v>8.8815975189209002</v>
      </c>
      <c r="C254" s="914">
        <v>10.3074436187744</v>
      </c>
      <c r="D254" s="914">
        <v>13.411918640136699</v>
      </c>
      <c r="E254" s="914">
        <v>6.6991925239562997</v>
      </c>
      <c r="F254" s="914">
        <v>5.8016228675842303</v>
      </c>
      <c r="G254" s="914">
        <v>8.5975322723388707</v>
      </c>
      <c r="H254" s="914">
        <v>10.1285858154297</v>
      </c>
      <c r="I254" s="914">
        <v>11.654000282287599</v>
      </c>
      <c r="J254" s="914">
        <v>12.9474182128906</v>
      </c>
      <c r="K254" s="914">
        <v>14.400235176086399</v>
      </c>
      <c r="L254" s="914">
        <v>15.2041673660278</v>
      </c>
      <c r="M254" s="914">
        <v>15.658245086669901</v>
      </c>
      <c r="N254" s="914">
        <v>16.352220535278299</v>
      </c>
      <c r="O254" s="914">
        <v>16.605510711669901</v>
      </c>
      <c r="P254" s="914">
        <v>16.856744766235401</v>
      </c>
      <c r="Q254" s="914">
        <v>17.043632507324201</v>
      </c>
      <c r="R254" s="914">
        <v>17.1953125</v>
      </c>
      <c r="S254" s="914">
        <v>17.403110504150401</v>
      </c>
      <c r="T254" s="914">
        <v>17.4520969390869</v>
      </c>
      <c r="U254" s="914">
        <v>17.016120910644499</v>
      </c>
      <c r="V254" s="914">
        <v>17.163618087768601</v>
      </c>
      <c r="W254" s="914">
        <v>17.311967849731399</v>
      </c>
      <c r="X254" s="914">
        <v>17.516565322876001</v>
      </c>
      <c r="Y254" s="914">
        <v>17.704761505126999</v>
      </c>
      <c r="Z254" s="914">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5">
      <c r="A255" s="912" t="s">
        <v>510</v>
      </c>
      <c r="B255" s="914">
        <v>11.896094322204601</v>
      </c>
      <c r="C255" s="914">
        <v>10.9898433685303</v>
      </c>
      <c r="D255" s="914">
        <v>11.3387994766235</v>
      </c>
      <c r="E255" s="914">
        <v>8.9075946807861293</v>
      </c>
      <c r="F255" s="914">
        <v>9.4656057357788104</v>
      </c>
      <c r="G255" s="914">
        <v>9.7463216781616193</v>
      </c>
      <c r="H255" s="914">
        <v>9.7210922241210902</v>
      </c>
      <c r="I255" s="914">
        <v>9.6719341278076207</v>
      </c>
      <c r="J255" s="914">
        <v>9.7138872146606392</v>
      </c>
      <c r="K255" s="914">
        <v>9.8306560516357404</v>
      </c>
      <c r="L255" s="914">
        <v>10.038209915161101</v>
      </c>
      <c r="M255" s="914">
        <v>10.2545003890991</v>
      </c>
      <c r="N255" s="914">
        <v>10.476261138916</v>
      </c>
      <c r="O255" s="914">
        <v>10.746561050415</v>
      </c>
      <c r="P255" s="914">
        <v>11.0803880691528</v>
      </c>
      <c r="Q255" s="914">
        <v>11.314369201660201</v>
      </c>
      <c r="R255" s="914">
        <v>11.4017143249512</v>
      </c>
      <c r="S255" s="914">
        <v>11.212500572204601</v>
      </c>
      <c r="T255" s="914">
        <v>11.1975994110107</v>
      </c>
      <c r="U255" s="914">
        <v>11.159740447998001</v>
      </c>
      <c r="V255" s="914">
        <v>11.3503875732422</v>
      </c>
      <c r="W255" s="914">
        <v>11.640952110290501</v>
      </c>
      <c r="X255" s="914">
        <v>11.9785671234131</v>
      </c>
      <c r="Y255" s="914">
        <v>12.2332496643066</v>
      </c>
      <c r="Z255" s="914">
        <v>12.5188312530518</v>
      </c>
      <c r="AA255" s="306"/>
      <c r="AB255" s="306"/>
      <c r="AC255" s="306"/>
      <c r="AD255" s="306"/>
    </row>
    <row r="256" spans="1:70" x14ac:dyDescent="0.25">
      <c r="A256" s="912" t="s">
        <v>479</v>
      </c>
      <c r="B256" s="914">
        <v>28.3762531280518</v>
      </c>
      <c r="C256" s="914">
        <v>28.029735565185501</v>
      </c>
      <c r="D256" s="914">
        <v>29.057315826416001</v>
      </c>
      <c r="E256" s="914">
        <v>27.6067714691162</v>
      </c>
      <c r="F256" s="914">
        <v>24.835584640502901</v>
      </c>
      <c r="G256" s="914">
        <v>25.581251144409201</v>
      </c>
      <c r="H256" s="914">
        <v>25.4402256011963</v>
      </c>
      <c r="I256" s="914">
        <v>25.470129013061499</v>
      </c>
      <c r="J256" s="914">
        <v>25.672283172607401</v>
      </c>
      <c r="K256" s="914">
        <v>25.763282775878899</v>
      </c>
      <c r="L256" s="914">
        <v>26.100669860839801</v>
      </c>
      <c r="M256" s="914">
        <v>26.468044281005898</v>
      </c>
      <c r="N256" s="914">
        <v>26.885612487793001</v>
      </c>
      <c r="O256" s="914">
        <v>27.169450759887699</v>
      </c>
      <c r="P256" s="914">
        <v>27.620109558105501</v>
      </c>
      <c r="Q256" s="914">
        <v>28.002447128295898</v>
      </c>
      <c r="R256" s="914">
        <v>28.245407104492202</v>
      </c>
      <c r="S256" s="914">
        <v>28.186374664306602</v>
      </c>
      <c r="T256" s="914">
        <v>28.203248977661101</v>
      </c>
      <c r="U256" s="914">
        <v>28.139711380004901</v>
      </c>
      <c r="V256" s="914">
        <v>28.178466796875</v>
      </c>
      <c r="W256" s="914">
        <v>28.495182037353501</v>
      </c>
      <c r="X256" s="914">
        <v>28.915565490722699</v>
      </c>
      <c r="Y256" s="914">
        <v>29.289411544799801</v>
      </c>
      <c r="Z256" s="914">
        <v>29.651695251464801</v>
      </c>
      <c r="AA256" s="306">
        <v>16.318952560424801</v>
      </c>
      <c r="AB256" s="306">
        <v>16.4172878265381</v>
      </c>
      <c r="AC256" s="306">
        <v>16.5084934234619</v>
      </c>
      <c r="AD256" s="306">
        <v>16.549221038818398</v>
      </c>
    </row>
    <row r="257" spans="1:70" x14ac:dyDescent="0.25">
      <c r="AA257" s="306">
        <v>12.788073539733899</v>
      </c>
      <c r="AB257" s="306">
        <v>13.069622039794901</v>
      </c>
      <c r="AC257" s="306">
        <v>13.0597486495972</v>
      </c>
      <c r="AD257" s="306">
        <v>13.2463188171387</v>
      </c>
    </row>
    <row r="258" spans="1:70" ht="13" thickBot="1" x14ac:dyDescent="0.3">
      <c r="A258" s="912" t="s">
        <v>612</v>
      </c>
      <c r="AA258" s="306">
        <v>9.5039434432983398</v>
      </c>
      <c r="AB258" s="306">
        <v>9.4975557327270508</v>
      </c>
      <c r="AC258" s="306">
        <v>9.6068582534790004</v>
      </c>
      <c r="AD258" s="306">
        <v>9.5831336975097692</v>
      </c>
    </row>
    <row r="259" spans="1:70" ht="13" thickBot="1" x14ac:dyDescent="0.3">
      <c r="A259" s="912" t="s">
        <v>609</v>
      </c>
      <c r="B259" s="914">
        <v>21.041078567504901</v>
      </c>
      <c r="C259" s="914">
        <v>23.3795166015625</v>
      </c>
      <c r="D259" s="914">
        <v>26.646581649780298</v>
      </c>
      <c r="E259" s="914">
        <v>22.2440700531006</v>
      </c>
      <c r="F259" s="914">
        <v>16.6379299163818</v>
      </c>
      <c r="G259" s="914">
        <v>18.920274734497099</v>
      </c>
      <c r="H259" s="914">
        <v>20.8892612457275</v>
      </c>
      <c r="I259" s="914">
        <v>22.636520385742202</v>
      </c>
      <c r="J259" s="914">
        <v>24.1346244812012</v>
      </c>
      <c r="K259" s="914">
        <v>25.742292404174801</v>
      </c>
      <c r="L259" s="914">
        <v>26.783767700195298</v>
      </c>
      <c r="M259" s="914">
        <v>27.652248382568398</v>
      </c>
      <c r="N259" s="914">
        <v>28.520401000976602</v>
      </c>
      <c r="O259" s="914">
        <v>28.932659149169901</v>
      </c>
      <c r="P259" s="914">
        <v>29.169765472412099</v>
      </c>
      <c r="Q259" s="914">
        <v>29.4143581390381</v>
      </c>
      <c r="R259" s="914">
        <v>29.524629592895501</v>
      </c>
      <c r="S259" s="914">
        <v>29.853767395019499</v>
      </c>
      <c r="T259" s="914">
        <v>29.959171295166001</v>
      </c>
      <c r="U259" s="914">
        <v>29.528638839721701</v>
      </c>
      <c r="V259" s="914">
        <v>29.7813510894775</v>
      </c>
      <c r="W259" s="914">
        <v>30.054143905639599</v>
      </c>
      <c r="X259" s="914">
        <v>30.3852443695068</v>
      </c>
      <c r="Y259" s="914">
        <v>30.4649448394775</v>
      </c>
      <c r="Z259" s="914">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5">
      <c r="A260" s="912" t="s">
        <v>610</v>
      </c>
      <c r="B260" s="914">
        <v>15.7354278564453</v>
      </c>
      <c r="C260" s="914">
        <v>16.8219394683838</v>
      </c>
      <c r="D260" s="914">
        <v>21.937858581543001</v>
      </c>
      <c r="E260" s="914">
        <v>14.291754722595201</v>
      </c>
      <c r="F260" s="914">
        <v>10.6247463226318</v>
      </c>
      <c r="G260" s="914">
        <v>13.4027051925659</v>
      </c>
      <c r="H260" s="914">
        <v>15.2648477554321</v>
      </c>
      <c r="I260" s="914">
        <v>17.266075134277301</v>
      </c>
      <c r="J260" s="914">
        <v>18.658037185668899</v>
      </c>
      <c r="K260" s="914">
        <v>19.740333557128899</v>
      </c>
      <c r="L260" s="914">
        <v>20.622322082519499</v>
      </c>
      <c r="M260" s="914">
        <v>21.514814376831101</v>
      </c>
      <c r="N260" s="914">
        <v>22.261856079101602</v>
      </c>
      <c r="O260" s="914">
        <v>22.720048904418899</v>
      </c>
      <c r="P260" s="914">
        <v>23.0620517730713</v>
      </c>
      <c r="Q260" s="914">
        <v>23.029100418090799</v>
      </c>
      <c r="R260" s="914">
        <v>23.327865600585898</v>
      </c>
      <c r="S260" s="914">
        <v>23.5460414886475</v>
      </c>
      <c r="T260" s="914">
        <v>23.635374069213899</v>
      </c>
      <c r="U260" s="914">
        <v>23.588466644287099</v>
      </c>
      <c r="V260" s="914">
        <v>23.9423828125</v>
      </c>
      <c r="W260" s="914">
        <v>23.870851516723601</v>
      </c>
      <c r="X260" s="914">
        <v>24.336980819702099</v>
      </c>
      <c r="Y260" s="914">
        <v>25.037542343139599</v>
      </c>
      <c r="Z260" s="914">
        <v>25.073137283325199</v>
      </c>
      <c r="AA260" s="306">
        <v>2.7168338298797599</v>
      </c>
      <c r="AB260" s="306">
        <v>2.7307398319244398</v>
      </c>
      <c r="AC260" s="306">
        <v>2.7413196563720699</v>
      </c>
      <c r="AD260" s="306">
        <v>2.7546591758728001</v>
      </c>
    </row>
    <row r="261" spans="1:70" x14ac:dyDescent="0.25">
      <c r="A261" s="912" t="s">
        <v>611</v>
      </c>
      <c r="B261" s="914">
        <v>9.2125787734985405</v>
      </c>
      <c r="C261" s="914">
        <v>10.5954837799072</v>
      </c>
      <c r="D261" s="914">
        <v>13.7473258972168</v>
      </c>
      <c r="E261" s="914">
        <v>6.9127345085143999</v>
      </c>
      <c r="F261" s="914">
        <v>9.8444128036499006</v>
      </c>
      <c r="G261" s="914">
        <v>12.2499532699585</v>
      </c>
      <c r="H261" s="914">
        <v>13.9352369308472</v>
      </c>
      <c r="I261" s="914">
        <v>15.428977966308601</v>
      </c>
      <c r="J261" s="914">
        <v>16.646518707275401</v>
      </c>
      <c r="K261" s="914">
        <v>18.037969589233398</v>
      </c>
      <c r="L261" s="914">
        <v>18.8180332183838</v>
      </c>
      <c r="M261" s="914">
        <v>19.4296264648438</v>
      </c>
      <c r="N261" s="914">
        <v>20.112428665161101</v>
      </c>
      <c r="O261" s="914">
        <v>20.448431015014599</v>
      </c>
      <c r="P261" s="914">
        <v>20.727931976318398</v>
      </c>
      <c r="Q261" s="914">
        <v>20.973798751831101</v>
      </c>
      <c r="R261" s="914">
        <v>21.101537704467798</v>
      </c>
      <c r="S261" s="914">
        <v>21.306892395019499</v>
      </c>
      <c r="T261" s="914">
        <v>21.394767761230501</v>
      </c>
      <c r="U261" s="914">
        <v>21.017236709594702</v>
      </c>
      <c r="V261" s="914">
        <v>21.180326461791999</v>
      </c>
      <c r="W261" s="914">
        <v>21.338615417480501</v>
      </c>
      <c r="X261" s="914">
        <v>21.660650253295898</v>
      </c>
      <c r="Y261" s="914">
        <v>21.793584823608398</v>
      </c>
      <c r="Z261" s="914">
        <v>22.078443527221701</v>
      </c>
      <c r="AA261" s="306">
        <v>2.2517027854919398</v>
      </c>
      <c r="AB261" s="306">
        <v>2.2682161331176802</v>
      </c>
      <c r="AC261" s="306">
        <v>2.2745745182037398</v>
      </c>
      <c r="AD261" s="306">
        <v>2.2862651348114</v>
      </c>
    </row>
    <row r="262" spans="1:70" ht="13" thickBot="1" x14ac:dyDescent="0.3">
      <c r="A262" s="912" t="s">
        <v>613</v>
      </c>
      <c r="B262" s="914">
        <v>7.9540700912475604</v>
      </c>
      <c r="C262" s="914">
        <v>7.5152516365051296</v>
      </c>
      <c r="D262" s="914">
        <v>8.8012723922729492</v>
      </c>
      <c r="E262" s="914">
        <v>4.8485679626464799</v>
      </c>
      <c r="F262" s="914">
        <v>5.4989199638366699</v>
      </c>
      <c r="G262" s="914">
        <v>5.8261642456054696</v>
      </c>
      <c r="H262" s="914">
        <v>5.87778615951538</v>
      </c>
      <c r="I262" s="914">
        <v>5.9538393020629901</v>
      </c>
      <c r="J262" s="914">
        <v>6.1098570823669398</v>
      </c>
      <c r="K262" s="914">
        <v>6.3294844627380398</v>
      </c>
      <c r="L262" s="914">
        <v>6.5125813484191903</v>
      </c>
      <c r="M262" s="914">
        <v>6.7027301788330096</v>
      </c>
      <c r="N262" s="914">
        <v>6.8988709449768102</v>
      </c>
      <c r="O262" s="914">
        <v>7.1528282165527299</v>
      </c>
      <c r="P262" s="914">
        <v>7.4686021804809597</v>
      </c>
      <c r="Q262" s="914">
        <v>7.6786775588989302</v>
      </c>
      <c r="R262" s="914">
        <v>7.7538070678710902</v>
      </c>
      <c r="S262" s="914">
        <v>7.5584783554077104</v>
      </c>
      <c r="T262" s="914">
        <v>7.5461778640747097</v>
      </c>
      <c r="U262" s="914">
        <v>7.4592709541320801</v>
      </c>
      <c r="V262" s="914">
        <v>7.6002230644226101</v>
      </c>
      <c r="W262" s="914">
        <v>7.8596048355102504</v>
      </c>
      <c r="X262" s="914">
        <v>8.1941757202148402</v>
      </c>
      <c r="Y262" s="914">
        <v>8.4216127395629901</v>
      </c>
      <c r="Z262" s="914">
        <v>8.6935501098632795</v>
      </c>
      <c r="AA262" s="306">
        <v>1.2833950519561801</v>
      </c>
      <c r="AB262" s="306">
        <v>1.3286876678466799</v>
      </c>
      <c r="AC262" s="306">
        <v>1.33012855052948</v>
      </c>
      <c r="AD262" s="306">
        <v>1.33445107936859</v>
      </c>
    </row>
    <row r="263" spans="1:70" ht="13" thickBot="1" x14ac:dyDescent="0.3">
      <c r="A263" s="912" t="s">
        <v>614</v>
      </c>
      <c r="B263" s="914">
        <v>3.6353600025177002</v>
      </c>
      <c r="C263" s="914">
        <v>3.6099998950958301</v>
      </c>
      <c r="D263" s="914">
        <v>4.0558156967163104</v>
      </c>
      <c r="E263" s="914">
        <v>4.0487108230590803</v>
      </c>
      <c r="F263" s="914">
        <v>3.9977276325225799</v>
      </c>
      <c r="G263" s="914">
        <v>4.1121706962585396</v>
      </c>
      <c r="H263" s="914">
        <v>4.1809573173522896</v>
      </c>
      <c r="I263" s="914">
        <v>4.2343683242797896</v>
      </c>
      <c r="J263" s="914">
        <v>4.27162742614746</v>
      </c>
      <c r="K263" s="914">
        <v>4.2985162734985396</v>
      </c>
      <c r="L263" s="914">
        <v>4.3192996978759801</v>
      </c>
      <c r="M263" s="914">
        <v>4.3337044715881303</v>
      </c>
      <c r="N263" s="914">
        <v>4.3530845642089799</v>
      </c>
      <c r="O263" s="914">
        <v>4.3696141242981001</v>
      </c>
      <c r="P263" s="914">
        <v>4.3899216651916504</v>
      </c>
      <c r="Q263" s="914">
        <v>4.4470157623290998</v>
      </c>
      <c r="R263" s="914">
        <v>4.5093812942504901</v>
      </c>
      <c r="S263" s="914">
        <v>4.5352845191955602</v>
      </c>
      <c r="T263" s="914">
        <v>4.5618190765380904</v>
      </c>
      <c r="U263" s="914">
        <v>4.5643453598022496</v>
      </c>
      <c r="V263" s="914">
        <v>4.5493078231811497</v>
      </c>
      <c r="W263" s="914">
        <v>4.5490665435790998</v>
      </c>
      <c r="X263" s="914">
        <v>4.5331215858459499</v>
      </c>
      <c r="Y263" s="914">
        <v>4.4955492019653303</v>
      </c>
      <c r="Z263" s="914">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5">
      <c r="A264" s="912" t="s">
        <v>615</v>
      </c>
      <c r="B264" s="914">
        <v>2.4029970169067401</v>
      </c>
      <c r="C264" s="914">
        <v>2.4299483299255402</v>
      </c>
      <c r="D264" s="914">
        <v>2.5420303344726598</v>
      </c>
      <c r="E264" s="914">
        <v>2.4490520954132098</v>
      </c>
      <c r="F264" s="914">
        <v>2.3906834125518799</v>
      </c>
      <c r="G264" s="914">
        <v>2.4765830039978001</v>
      </c>
      <c r="H264" s="914">
        <v>2.4936084747314502</v>
      </c>
      <c r="I264" s="914">
        <v>2.5247271060943599</v>
      </c>
      <c r="J264" s="914">
        <v>2.54471778869629</v>
      </c>
      <c r="K264" s="914">
        <v>2.53918480873108</v>
      </c>
      <c r="L264" s="914">
        <v>2.54552221298218</v>
      </c>
      <c r="M264" s="914">
        <v>2.5526983737945601</v>
      </c>
      <c r="N264" s="914">
        <v>2.5639333724975599</v>
      </c>
      <c r="O264" s="914">
        <v>2.5611753463745099</v>
      </c>
      <c r="P264" s="914">
        <v>2.56861472129822</v>
      </c>
      <c r="Q264" s="914">
        <v>2.5710935592651398</v>
      </c>
      <c r="R264" s="914">
        <v>2.57420825958252</v>
      </c>
      <c r="S264" s="914">
        <v>2.5741758346557599</v>
      </c>
      <c r="T264" s="914">
        <v>2.5788726806640598</v>
      </c>
      <c r="U264" s="914">
        <v>2.5789062976837198</v>
      </c>
      <c r="V264" s="914">
        <v>2.59378290176392</v>
      </c>
      <c r="W264" s="914">
        <v>2.6088099479675302</v>
      </c>
      <c r="X264" s="914">
        <v>2.6259028911590598</v>
      </c>
      <c r="Y264" s="914">
        <v>2.64452123641968</v>
      </c>
      <c r="Z264" s="914">
        <v>2.6644773483276398</v>
      </c>
      <c r="AA264" s="306"/>
      <c r="AB264" s="306"/>
      <c r="AC264" s="306"/>
      <c r="AD264" s="306"/>
    </row>
    <row r="265" spans="1:70" ht="13" thickBot="1" x14ac:dyDescent="0.3">
      <c r="A265" s="912" t="s">
        <v>616</v>
      </c>
      <c r="B265" s="914">
        <v>0</v>
      </c>
      <c r="C265" s="914">
        <v>0</v>
      </c>
      <c r="D265" s="914">
        <v>0</v>
      </c>
      <c r="E265" s="914">
        <v>0</v>
      </c>
      <c r="F265" s="914">
        <v>0</v>
      </c>
      <c r="G265" s="914">
        <v>1.5133428573608401</v>
      </c>
      <c r="H265" s="914">
        <v>1.3742095232009901</v>
      </c>
      <c r="I265" s="914">
        <v>1.19064140319824</v>
      </c>
      <c r="J265" s="914">
        <v>1.3664953708648699</v>
      </c>
      <c r="K265" s="914">
        <v>1.33487153053284</v>
      </c>
      <c r="L265" s="914">
        <v>1.31654036045074</v>
      </c>
      <c r="M265" s="914">
        <v>1.30223417282104</v>
      </c>
      <c r="N265" s="914">
        <v>1.30838906764984</v>
      </c>
      <c r="O265" s="914">
        <v>1.32146644592285</v>
      </c>
      <c r="P265" s="914">
        <v>1.3489345312118499</v>
      </c>
      <c r="Q265" s="914">
        <v>1.3524934053421001</v>
      </c>
      <c r="R265" s="914">
        <v>1.3570195436477701</v>
      </c>
      <c r="S265" s="914">
        <v>1.3626403808593801</v>
      </c>
      <c r="T265" s="914">
        <v>1.37119424343109</v>
      </c>
      <c r="U265" s="914">
        <v>1.3635557889938399</v>
      </c>
      <c r="V265" s="914">
        <v>1.3662919998168901</v>
      </c>
      <c r="W265" s="914">
        <v>1.37254309654236</v>
      </c>
      <c r="X265" s="914">
        <v>1.37609398365021</v>
      </c>
      <c r="Y265" s="914">
        <v>1.3784751892089799</v>
      </c>
      <c r="Z265" s="914">
        <v>1.3805129528045701</v>
      </c>
      <c r="AA265" s="306">
        <v>24.056577682495099</v>
      </c>
      <c r="AB265" s="306">
        <v>24.1739406585693</v>
      </c>
      <c r="AC265" s="306">
        <v>24.2586994171143</v>
      </c>
      <c r="AD265" s="306">
        <v>24.288969039916999</v>
      </c>
    </row>
    <row r="266" spans="1:70" ht="13" thickBot="1" x14ac:dyDescent="0.3">
      <c r="A266" s="912" t="s">
        <v>479</v>
      </c>
      <c r="B266" s="914">
        <v>18.400894165039102</v>
      </c>
      <c r="C266" s="914">
        <v>18.6226921081543</v>
      </c>
      <c r="D266" s="914">
        <v>20.334409713745099</v>
      </c>
      <c r="E266" s="914">
        <v>19.159486770629901</v>
      </c>
      <c r="F266" s="914">
        <v>16.828172683715799</v>
      </c>
      <c r="G266" s="914">
        <v>17.264308929443398</v>
      </c>
      <c r="H266" s="914">
        <v>17.156070709228501</v>
      </c>
      <c r="I266" s="914">
        <v>17.083604812622099</v>
      </c>
      <c r="J266" s="914">
        <v>17.1988334655762</v>
      </c>
      <c r="K266" s="914">
        <v>17.318143844604499</v>
      </c>
      <c r="L266" s="914">
        <v>17.615074157714801</v>
      </c>
      <c r="M266" s="914">
        <v>17.910154342651399</v>
      </c>
      <c r="N266" s="914">
        <v>18.210170745849599</v>
      </c>
      <c r="O266" s="914">
        <v>18.456880569458001</v>
      </c>
      <c r="P266" s="914">
        <v>18.803001403808601</v>
      </c>
      <c r="Q266" s="914">
        <v>19.085206985473601</v>
      </c>
      <c r="R266" s="914">
        <v>19.30615234375</v>
      </c>
      <c r="S266" s="914">
        <v>19.3043308258057</v>
      </c>
      <c r="T266" s="914">
        <v>19.3253479003906</v>
      </c>
      <c r="U266" s="914">
        <v>19.324813842773398</v>
      </c>
      <c r="V266" s="914">
        <v>19.354219436645501</v>
      </c>
      <c r="W266" s="914">
        <v>19.614883422851602</v>
      </c>
      <c r="X266" s="914">
        <v>19.97239112854</v>
      </c>
      <c r="Y266" s="914">
        <v>20.29469871521</v>
      </c>
      <c r="Z266" s="914">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 thickBot="1" x14ac:dyDescent="0.3">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 thickBot="1" x14ac:dyDescent="0.3">
      <c r="A268" s="912" t="s">
        <v>487</v>
      </c>
      <c r="AA268" s="306">
        <v>11.227470397949199</v>
      </c>
      <c r="AB268" s="306">
        <v>11.517865180969199</v>
      </c>
      <c r="AC268" s="306">
        <v>11.5089683532715</v>
      </c>
      <c r="AD268" s="306">
        <v>11.7493782043457</v>
      </c>
    </row>
    <row r="269" spans="1:70" ht="13" thickBot="1" x14ac:dyDescent="0.3">
      <c r="A269" s="912" t="s">
        <v>617</v>
      </c>
      <c r="B269" s="914">
        <v>22.296371459960898</v>
      </c>
      <c r="C269" s="914">
        <v>25.0072345733643</v>
      </c>
      <c r="D269" s="914">
        <v>28.759458541870099</v>
      </c>
      <c r="E269" s="914">
        <v>21.685003280639599</v>
      </c>
      <c r="F269" s="914">
        <v>20.534326553344702</v>
      </c>
      <c r="G269" s="914">
        <v>22.796831130981399</v>
      </c>
      <c r="H269" s="914">
        <v>24.8035278320313</v>
      </c>
      <c r="I269" s="914">
        <v>26.570152282714801</v>
      </c>
      <c r="J269" s="914">
        <v>28.076972961425799</v>
      </c>
      <c r="K269" s="914">
        <v>29.693559646606399</v>
      </c>
      <c r="L269" s="914">
        <v>30.7330017089844</v>
      </c>
      <c r="M269" s="914">
        <v>31.595745086669901</v>
      </c>
      <c r="N269" s="914">
        <v>32.463813781738303</v>
      </c>
      <c r="O269" s="914">
        <v>32.853603363037102</v>
      </c>
      <c r="P269" s="914">
        <v>33.095050811767599</v>
      </c>
      <c r="Q269" s="914">
        <v>33.3141899108887</v>
      </c>
      <c r="R269" s="914">
        <v>33.425758361816399</v>
      </c>
      <c r="S269" s="914">
        <v>33.752655029296903</v>
      </c>
      <c r="T269" s="914">
        <v>33.878787994384801</v>
      </c>
      <c r="U269" s="914">
        <v>33.426109313964801</v>
      </c>
      <c r="V269" s="914">
        <v>33.692680358886697</v>
      </c>
      <c r="W269" s="914">
        <v>33.960933685302699</v>
      </c>
      <c r="X269" s="914">
        <v>34.291332244872997</v>
      </c>
      <c r="Y269" s="914">
        <v>34.467491149902301</v>
      </c>
      <c r="Z269" s="914">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5">
      <c r="A270" s="912" t="s">
        <v>618</v>
      </c>
      <c r="B270" s="914">
        <v>25.5142211914063</v>
      </c>
      <c r="C270" s="914">
        <v>26.818180084228501</v>
      </c>
      <c r="D270" s="914">
        <v>34.073703765869098</v>
      </c>
      <c r="E270" s="914">
        <v>20.3962516784668</v>
      </c>
      <c r="F270" s="914">
        <v>18.869060516357401</v>
      </c>
      <c r="G270" s="914">
        <v>22.499189376831101</v>
      </c>
      <c r="H270" s="914">
        <v>24.345371246337901</v>
      </c>
      <c r="I270" s="914">
        <v>25.8835773468018</v>
      </c>
      <c r="J270" s="914">
        <v>27.376197814941399</v>
      </c>
      <c r="K270" s="914">
        <v>25.5507621765137</v>
      </c>
      <c r="L270" s="914">
        <v>26.3307495117188</v>
      </c>
      <c r="M270" s="914">
        <v>27.042121887206999</v>
      </c>
      <c r="N270" s="914">
        <v>27.074653625488299</v>
      </c>
      <c r="O270" s="914">
        <v>28.861484527587901</v>
      </c>
      <c r="P270" s="914">
        <v>29.593324661254901</v>
      </c>
      <c r="Q270" s="914">
        <v>29.691083908081101</v>
      </c>
      <c r="R270" s="914">
        <v>29.8394565582275</v>
      </c>
      <c r="S270" s="914">
        <v>30.056737899780298</v>
      </c>
      <c r="T270" s="914">
        <v>30.123649597168001</v>
      </c>
      <c r="U270" s="914">
        <v>30.045396804809599</v>
      </c>
      <c r="V270" s="914">
        <v>30.335887908935501</v>
      </c>
      <c r="W270" s="914">
        <v>30.1821899414063</v>
      </c>
      <c r="X270" s="914">
        <v>30.567377090454102</v>
      </c>
      <c r="Y270" s="914">
        <v>31.227724075317401</v>
      </c>
      <c r="Z270" s="914">
        <v>30.935503005981399</v>
      </c>
      <c r="AA270" s="306">
        <v>8.1832656860351598</v>
      </c>
      <c r="AB270" s="306">
        <v>8.1197490692138707</v>
      </c>
      <c r="AC270" s="306">
        <v>8.3803300857543892</v>
      </c>
      <c r="AD270" s="306">
        <v>8.2735004425048793</v>
      </c>
    </row>
    <row r="271" spans="1:70" x14ac:dyDescent="0.25">
      <c r="A271" s="912" t="s">
        <v>619</v>
      </c>
      <c r="B271" s="914">
        <v>21.784559249877901</v>
      </c>
      <c r="C271" s="914">
        <v>22.982162475585898</v>
      </c>
      <c r="D271" s="914">
        <v>26.1744689941406</v>
      </c>
      <c r="E271" s="914">
        <v>15.6736001968384</v>
      </c>
      <c r="F271" s="914">
        <v>17.7131462097168</v>
      </c>
      <c r="G271" s="914">
        <v>20.6617527008057</v>
      </c>
      <c r="H271" s="914">
        <v>22.301433563232401</v>
      </c>
      <c r="I271" s="914">
        <v>23.517950057983398</v>
      </c>
      <c r="J271" s="914">
        <v>24.816135406494102</v>
      </c>
      <c r="K271" s="914">
        <v>26.137458801269499</v>
      </c>
      <c r="L271" s="914">
        <v>27.061580657958999</v>
      </c>
      <c r="M271" s="914">
        <v>27.993299484252901</v>
      </c>
      <c r="N271" s="914">
        <v>28.802474975585898</v>
      </c>
      <c r="O271" s="914">
        <v>29.411088943481399</v>
      </c>
      <c r="P271" s="914">
        <v>29.938217163085898</v>
      </c>
      <c r="Q271" s="914">
        <v>30.057752609252901</v>
      </c>
      <c r="R271" s="914">
        <v>30.3159790039063</v>
      </c>
      <c r="S271" s="914">
        <v>30.494945526123001</v>
      </c>
      <c r="T271" s="914">
        <v>30.528341293335</v>
      </c>
      <c r="U271" s="914">
        <v>30.4458103179932</v>
      </c>
      <c r="V271" s="914">
        <v>30.726751327514599</v>
      </c>
      <c r="W271" s="914">
        <v>30.704950332641602</v>
      </c>
      <c r="X271" s="914">
        <v>31.110511779785199</v>
      </c>
      <c r="Y271" s="914">
        <v>31.9617519378662</v>
      </c>
      <c r="Z271" s="914">
        <v>31.583656311035199</v>
      </c>
      <c r="AA271" s="306">
        <v>13.240598678588899</v>
      </c>
      <c r="AB271" s="306">
        <v>13.359972000122101</v>
      </c>
      <c r="AC271" s="306">
        <v>13.395259857177701</v>
      </c>
      <c r="AD271" s="306">
        <v>13.453570365905801</v>
      </c>
    </row>
    <row r="272" spans="1:70" x14ac:dyDescent="0.25">
      <c r="A272" s="912" t="s">
        <v>620</v>
      </c>
      <c r="B272" s="914">
        <v>15.2446508407593</v>
      </c>
      <c r="C272" s="914">
        <v>16.0964660644531</v>
      </c>
      <c r="D272" s="914">
        <v>22.1856594085693</v>
      </c>
      <c r="E272" s="914">
        <v>10.540905952453601</v>
      </c>
      <c r="F272" s="914">
        <v>10.4131317138672</v>
      </c>
      <c r="G272" s="914">
        <v>12.992267608642599</v>
      </c>
      <c r="H272" s="914">
        <v>14.8510446548462</v>
      </c>
      <c r="I272" s="914">
        <v>16.4927158355713</v>
      </c>
      <c r="J272" s="914">
        <v>17.888269424438501</v>
      </c>
      <c r="K272" s="914">
        <v>19.120731353759801</v>
      </c>
      <c r="L272" s="914">
        <v>20.025011062622099</v>
      </c>
      <c r="M272" s="914">
        <v>20.925888061523398</v>
      </c>
      <c r="N272" s="914">
        <v>21.650459289550799</v>
      </c>
      <c r="O272" s="914">
        <v>22.054113388061499</v>
      </c>
      <c r="P272" s="914">
        <v>22.358533859252901</v>
      </c>
      <c r="Q272" s="914">
        <v>22.535087585449201</v>
      </c>
      <c r="R272" s="914">
        <v>22.624557495117202</v>
      </c>
      <c r="S272" s="914">
        <v>22.875423431396499</v>
      </c>
      <c r="T272" s="914">
        <v>23.088819503784201</v>
      </c>
      <c r="U272" s="914">
        <v>22.878332138061499</v>
      </c>
      <c r="V272" s="914">
        <v>23.229129791259801</v>
      </c>
      <c r="W272" s="914">
        <v>23.440977096557599</v>
      </c>
      <c r="X272" s="914">
        <v>23.911849975585898</v>
      </c>
      <c r="Y272" s="914">
        <v>24.3618278503418</v>
      </c>
      <c r="Z272" s="914">
        <v>24.669164657592798</v>
      </c>
      <c r="AA272" s="306">
        <v>24.345100402831999</v>
      </c>
      <c r="AB272" s="306">
        <v>24.401657104492202</v>
      </c>
      <c r="AC272" s="306">
        <v>24.482112884521499</v>
      </c>
      <c r="AD272" s="306">
        <v>24.4609375</v>
      </c>
    </row>
    <row r="273" spans="1:70" x14ac:dyDescent="0.25">
      <c r="A273" s="912" t="s">
        <v>724</v>
      </c>
      <c r="B273" s="914">
        <v>20.2724208831787</v>
      </c>
      <c r="C273" s="914">
        <v>20.921422958373999</v>
      </c>
      <c r="D273" s="914">
        <v>27.066003799438501</v>
      </c>
      <c r="E273" s="914">
        <v>15.379162788391101</v>
      </c>
      <c r="F273" s="914">
        <v>14.6322994232178</v>
      </c>
      <c r="G273" s="914">
        <v>17.082887649536101</v>
      </c>
      <c r="H273" s="914">
        <v>18.906814575195298</v>
      </c>
      <c r="I273" s="914">
        <v>21.012025833129901</v>
      </c>
      <c r="J273" s="914">
        <v>22.391767501831101</v>
      </c>
      <c r="K273" s="914">
        <v>23.401908874511701</v>
      </c>
      <c r="L273" s="914">
        <v>24.249780654907202</v>
      </c>
      <c r="M273" s="914">
        <v>25.151100158691399</v>
      </c>
      <c r="N273" s="914">
        <v>25.830009460449201</v>
      </c>
      <c r="O273" s="914">
        <v>26.267305374145501</v>
      </c>
      <c r="P273" s="914">
        <v>26.5901203155518</v>
      </c>
      <c r="Q273" s="914">
        <v>26.487575531005898</v>
      </c>
      <c r="R273" s="914">
        <v>26.7318305969238</v>
      </c>
      <c r="S273" s="914">
        <v>26.979133605956999</v>
      </c>
      <c r="T273" s="914">
        <v>27.001283645629901</v>
      </c>
      <c r="U273" s="914">
        <v>26.997362136840799</v>
      </c>
      <c r="V273" s="914">
        <v>27.317785263061499</v>
      </c>
      <c r="W273" s="914">
        <v>27.182266235351602</v>
      </c>
      <c r="X273" s="914">
        <v>27.638069152831999</v>
      </c>
      <c r="Y273" s="914">
        <v>28.388862609863299</v>
      </c>
      <c r="Z273" s="914">
        <v>28.337171554565401</v>
      </c>
      <c r="AA273" s="306"/>
      <c r="AB273" s="306"/>
      <c r="AC273" s="306"/>
      <c r="AD273" s="306"/>
    </row>
    <row r="274" spans="1:70" x14ac:dyDescent="0.25">
      <c r="A274" s="912" t="s">
        <v>611</v>
      </c>
      <c r="B274" s="914">
        <v>8.20648097991943</v>
      </c>
      <c r="C274" s="914">
        <v>9.4357099533081108</v>
      </c>
      <c r="D274" s="914">
        <v>14.2847747802734</v>
      </c>
      <c r="E274" s="914">
        <v>6.3925981521606401</v>
      </c>
      <c r="F274" s="914">
        <v>6.5852246284484899</v>
      </c>
      <c r="G274" s="914">
        <v>8.6673641204834002</v>
      </c>
      <c r="H274" s="914">
        <v>10.3328533172607</v>
      </c>
      <c r="I274" s="914">
        <v>11.815202713012701</v>
      </c>
      <c r="J274" s="914">
        <v>13.023598670959499</v>
      </c>
      <c r="K274" s="914">
        <v>14.4141092300415</v>
      </c>
      <c r="L274" s="914">
        <v>15.219378471374499</v>
      </c>
      <c r="M274" s="914">
        <v>15.915946006774901</v>
      </c>
      <c r="N274" s="914">
        <v>16.592523574829102</v>
      </c>
      <c r="O274" s="914">
        <v>16.9536838531494</v>
      </c>
      <c r="P274" s="914">
        <v>17.162534713745099</v>
      </c>
      <c r="Q274" s="914">
        <v>17.429744720458999</v>
      </c>
      <c r="R274" s="914">
        <v>17.456914901733398</v>
      </c>
      <c r="S274" s="914">
        <v>17.5628662109375</v>
      </c>
      <c r="T274" s="914">
        <v>17.630765914916999</v>
      </c>
      <c r="U274" s="914">
        <v>17.410764694213899</v>
      </c>
      <c r="V274" s="914">
        <v>17.6028347015381</v>
      </c>
      <c r="W274" s="914">
        <v>17.926630020141602</v>
      </c>
      <c r="X274" s="914">
        <v>18.257143020629901</v>
      </c>
      <c r="Y274" s="914">
        <v>18.451654434204102</v>
      </c>
      <c r="Z274" s="914">
        <v>18.835027694702099</v>
      </c>
      <c r="AA274" s="306">
        <v>10.4858131408691</v>
      </c>
      <c r="AB274" s="306">
        <v>10.572740554809601</v>
      </c>
      <c r="AC274" s="306">
        <v>10.740042686462401</v>
      </c>
      <c r="AD274" s="306">
        <v>10.786236763000501</v>
      </c>
    </row>
    <row r="275" spans="1:70" ht="13" thickBot="1" x14ac:dyDescent="0.3">
      <c r="A275" s="912" t="s">
        <v>622</v>
      </c>
      <c r="B275" s="914">
        <v>15.5415086746216</v>
      </c>
      <c r="C275" s="914">
        <v>15.4958410263062</v>
      </c>
      <c r="D275" s="914">
        <v>16.8896675109863</v>
      </c>
      <c r="E275" s="914">
        <v>12.7877197265625</v>
      </c>
      <c r="F275" s="914">
        <v>13.502610206604</v>
      </c>
      <c r="G275" s="914">
        <v>13.8291311264038</v>
      </c>
      <c r="H275" s="914">
        <v>13.8390712738037</v>
      </c>
      <c r="I275" s="914">
        <v>13.843875885009799</v>
      </c>
      <c r="J275" s="914">
        <v>13.934069633483899</v>
      </c>
      <c r="K275" s="914">
        <v>14.0993509292603</v>
      </c>
      <c r="L275" s="914">
        <v>14.229956626892101</v>
      </c>
      <c r="M275" s="914">
        <v>14.3684740066528</v>
      </c>
      <c r="N275" s="914">
        <v>14.5119123458862</v>
      </c>
      <c r="O275" s="914">
        <v>14.701403617858899</v>
      </c>
      <c r="P275" s="914">
        <v>14.9462375640869</v>
      </c>
      <c r="Q275" s="914">
        <v>15.0934410095215</v>
      </c>
      <c r="R275" s="914">
        <v>15.092455863952599</v>
      </c>
      <c r="S275" s="914">
        <v>14.8220539093018</v>
      </c>
      <c r="T275" s="914">
        <v>14.7596139907837</v>
      </c>
      <c r="U275" s="914">
        <v>14.661186218261699</v>
      </c>
      <c r="V275" s="914">
        <v>14.786495208740201</v>
      </c>
      <c r="W275" s="914">
        <v>15.012266159057599</v>
      </c>
      <c r="X275" s="914">
        <v>15.2852840423584</v>
      </c>
      <c r="Y275" s="914">
        <v>15.4684591293335</v>
      </c>
      <c r="Z275" s="914">
        <v>15.6974124908447</v>
      </c>
      <c r="AA275" s="306">
        <v>6.7344188690185502</v>
      </c>
      <c r="AB275" s="306">
        <v>6.7479009628295898</v>
      </c>
      <c r="AC275" s="306">
        <v>6.8497943878173801</v>
      </c>
      <c r="AD275" s="306">
        <v>6.84698486328125</v>
      </c>
    </row>
    <row r="276" spans="1:70" ht="13" thickBot="1" x14ac:dyDescent="0.3">
      <c r="A276" s="912" t="s">
        <v>479</v>
      </c>
      <c r="B276" s="914">
        <v>30.349004745483398</v>
      </c>
      <c r="C276" s="914">
        <v>30.777971267700199</v>
      </c>
      <c r="D276" s="914">
        <v>33.734138488769503</v>
      </c>
      <c r="E276" s="914">
        <v>31.501590728759801</v>
      </c>
      <c r="F276" s="914">
        <v>27.327030181884801</v>
      </c>
      <c r="G276" s="914">
        <v>28.561843872070298</v>
      </c>
      <c r="H276" s="914">
        <v>28.965305328369102</v>
      </c>
      <c r="I276" s="914">
        <v>28.9159030914307</v>
      </c>
      <c r="J276" s="914">
        <v>28.7644939422607</v>
      </c>
      <c r="K276" s="914">
        <v>28.526710510253899</v>
      </c>
      <c r="L276" s="914">
        <v>28.644361495971701</v>
      </c>
      <c r="M276" s="914">
        <v>28.6527919769287</v>
      </c>
      <c r="N276" s="914">
        <v>28.819505691528299</v>
      </c>
      <c r="O276" s="914">
        <v>28.888120651245099</v>
      </c>
      <c r="P276" s="914">
        <v>29.142557144165</v>
      </c>
      <c r="Q276" s="914">
        <v>29.470201492309599</v>
      </c>
      <c r="R276" s="914">
        <v>29.764074325561499</v>
      </c>
      <c r="S276" s="914">
        <v>29.801677703857401</v>
      </c>
      <c r="T276" s="914">
        <v>29.921939849853501</v>
      </c>
      <c r="U276" s="914">
        <v>30.035243988037099</v>
      </c>
      <c r="V276" s="914">
        <v>30.304817199706999</v>
      </c>
      <c r="W276" s="914">
        <v>30.8045558929443</v>
      </c>
      <c r="X276" s="914">
        <v>31.450147628784201</v>
      </c>
      <c r="Y276" s="914">
        <v>31.910936355590799</v>
      </c>
      <c r="Z276" s="914">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 thickBot="1" x14ac:dyDescent="0.3">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5">
      <c r="A278" s="912" t="s">
        <v>623</v>
      </c>
      <c r="AA278" s="306"/>
      <c r="AB278" s="306"/>
      <c r="AC278" s="306"/>
      <c r="AD278" s="306"/>
    </row>
    <row r="279" spans="1:70" x14ac:dyDescent="0.25">
      <c r="A279" s="912" t="s">
        <v>610</v>
      </c>
      <c r="B279" s="914">
        <v>13.773189544677701</v>
      </c>
      <c r="C279" s="914">
        <v>14.7725219726563</v>
      </c>
      <c r="D279" s="914">
        <v>19.176651000976602</v>
      </c>
      <c r="E279" s="914">
        <v>12.4995737075806</v>
      </c>
      <c r="F279" s="914">
        <v>9.7914295196533203</v>
      </c>
      <c r="G279" s="914">
        <v>12.0805196762085</v>
      </c>
      <c r="H279" s="914">
        <v>13.8671321868896</v>
      </c>
      <c r="I279" s="914">
        <v>15.216549873352101</v>
      </c>
      <c r="J279" s="914">
        <v>16.469785690307599</v>
      </c>
      <c r="K279" s="914">
        <v>17.9636936187744</v>
      </c>
      <c r="L279" s="914">
        <v>18.832237243652301</v>
      </c>
      <c r="M279" s="914">
        <v>19.641151428222699</v>
      </c>
      <c r="N279" s="914">
        <v>20.348432540893601</v>
      </c>
      <c r="O279" s="914">
        <v>20.710233688354499</v>
      </c>
      <c r="P279" s="914">
        <v>20.980741500854499</v>
      </c>
      <c r="Q279" s="914">
        <v>21.161005020141602</v>
      </c>
      <c r="R279" s="914">
        <v>21.2950553894043</v>
      </c>
      <c r="S279" s="914">
        <v>21.596014022827099</v>
      </c>
      <c r="T279" s="914">
        <v>21.884708404541001</v>
      </c>
      <c r="U279" s="914">
        <v>21.582948684692401</v>
      </c>
      <c r="V279" s="914">
        <v>21.8727416992188</v>
      </c>
      <c r="W279" s="914">
        <v>22.200710296630898</v>
      </c>
      <c r="X279" s="914">
        <v>22.548530578613299</v>
      </c>
      <c r="Y279" s="914">
        <v>22.812198638916001</v>
      </c>
      <c r="Z279" s="914">
        <v>23.2114353179932</v>
      </c>
      <c r="AA279" s="306">
        <v>18.0768718719482</v>
      </c>
      <c r="AB279" s="306">
        <v>18.184886932373001</v>
      </c>
      <c r="AC279" s="306">
        <v>18.263076782226602</v>
      </c>
      <c r="AD279" s="306">
        <v>18.304286956787099</v>
      </c>
    </row>
    <row r="280" spans="1:70" x14ac:dyDescent="0.25">
      <c r="A280" s="912" t="s">
        <v>611</v>
      </c>
      <c r="B280" s="914">
        <v>8.3781757354736293</v>
      </c>
      <c r="C280" s="914">
        <v>8.5664386749267596</v>
      </c>
      <c r="D280" s="914">
        <v>14.309384346008301</v>
      </c>
      <c r="E280" s="914">
        <v>6.51324510574341</v>
      </c>
      <c r="F280" s="914">
        <v>6.6763448715209996</v>
      </c>
      <c r="G280" s="914">
        <v>9.3123388290405291</v>
      </c>
      <c r="H280" s="914">
        <v>10.994701385498001</v>
      </c>
      <c r="I280" s="914">
        <v>12.5300750732422</v>
      </c>
      <c r="J280" s="914">
        <v>13.7526693344116</v>
      </c>
      <c r="K280" s="914">
        <v>15.155575752258301</v>
      </c>
      <c r="L280" s="914">
        <v>15.963142395019499</v>
      </c>
      <c r="M280" s="914">
        <v>16.617677688598601</v>
      </c>
      <c r="N280" s="914">
        <v>17.274333953857401</v>
      </c>
      <c r="O280" s="914">
        <v>17.322587966918899</v>
      </c>
      <c r="P280" s="914">
        <v>17.542411804199201</v>
      </c>
      <c r="Q280" s="914">
        <v>17.799869537353501</v>
      </c>
      <c r="R280" s="914">
        <v>17.916141510009801</v>
      </c>
      <c r="S280" s="914">
        <v>18.075910568237301</v>
      </c>
      <c r="T280" s="914">
        <v>18.1613368988037</v>
      </c>
      <c r="U280" s="914">
        <v>17.935956954956101</v>
      </c>
      <c r="V280" s="914">
        <v>18.128087997436499</v>
      </c>
      <c r="W280" s="914">
        <v>18.400978088378899</v>
      </c>
      <c r="X280" s="914">
        <v>18.7218933105469</v>
      </c>
      <c r="Y280" s="914">
        <v>18.9085083007813</v>
      </c>
      <c r="Z280" s="914">
        <v>19.247135162353501</v>
      </c>
      <c r="AA280" s="306">
        <v>21.3195495605469</v>
      </c>
      <c r="AB280" s="306">
        <v>21.43874168396</v>
      </c>
      <c r="AC280" s="306">
        <v>21.398374557495099</v>
      </c>
      <c r="AD280" s="306">
        <v>21.4992275238037</v>
      </c>
    </row>
    <row r="281" spans="1:70" x14ac:dyDescent="0.25">
      <c r="A281" s="912" t="s">
        <v>510</v>
      </c>
      <c r="B281" s="914">
        <v>7.0546379089355504</v>
      </c>
      <c r="C281" s="914">
        <v>7.0191597938537598</v>
      </c>
      <c r="D281" s="914">
        <v>8.8716125488281303</v>
      </c>
      <c r="E281" s="914">
        <v>4.5556221008300799</v>
      </c>
      <c r="F281" s="914">
        <v>5.1293134689331099</v>
      </c>
      <c r="G281" s="914">
        <v>5.4535460472106898</v>
      </c>
      <c r="H281" s="914">
        <v>5.5187635421752903</v>
      </c>
      <c r="I281" s="914">
        <v>5.53977298736572</v>
      </c>
      <c r="J281" s="914">
        <v>5.6835036277770996</v>
      </c>
      <c r="K281" s="914">
        <v>5.8920464515686</v>
      </c>
      <c r="L281" s="914">
        <v>6.0819325447082502</v>
      </c>
      <c r="M281" s="914">
        <v>6.2693996429443404</v>
      </c>
      <c r="N281" s="914">
        <v>6.4775133132934597</v>
      </c>
      <c r="O281" s="914">
        <v>6.7354197502136204</v>
      </c>
      <c r="P281" s="914">
        <v>7.0278439521789604</v>
      </c>
      <c r="Q281" s="914">
        <v>7.2539091110229501</v>
      </c>
      <c r="R281" s="914">
        <v>7.3283839225768999</v>
      </c>
      <c r="S281" s="914">
        <v>7.1506276130676296</v>
      </c>
      <c r="T281" s="914">
        <v>7.1924118995666504</v>
      </c>
      <c r="U281" s="914">
        <v>7.1398839950561497</v>
      </c>
      <c r="V281" s="914">
        <v>7.2806253433227504</v>
      </c>
      <c r="W281" s="914">
        <v>7.5354790687561</v>
      </c>
      <c r="X281" s="914">
        <v>7.8600792884826696</v>
      </c>
      <c r="Y281" s="914">
        <v>8.0742120742797905</v>
      </c>
      <c r="Z281" s="914">
        <v>8.3395175933837908</v>
      </c>
      <c r="AA281" s="306">
        <v>17.291141510009801</v>
      </c>
      <c r="AB281" s="306">
        <v>17.529483795166001</v>
      </c>
      <c r="AC281" s="306">
        <v>17.525184631347699</v>
      </c>
      <c r="AD281" s="306">
        <v>17.7543029785156</v>
      </c>
    </row>
    <row r="282" spans="1:70" x14ac:dyDescent="0.25">
      <c r="A282" s="912" t="s">
        <v>624</v>
      </c>
      <c r="B282" s="914">
        <v>1.7355252504348799</v>
      </c>
      <c r="C282" s="914">
        <v>1.7800002098083501</v>
      </c>
      <c r="D282" s="914">
        <v>1.9310736656189</v>
      </c>
      <c r="E282" s="914">
        <v>1.98230564594269</v>
      </c>
      <c r="F282" s="914">
        <v>1.86225914955139</v>
      </c>
      <c r="G282" s="914">
        <v>1.87335216999054</v>
      </c>
      <c r="H282" s="914">
        <v>1.85759365558624</v>
      </c>
      <c r="I282" s="914">
        <v>1.8817487955093399</v>
      </c>
      <c r="J282" s="914">
        <v>1.9043176174163801</v>
      </c>
      <c r="K282" s="914">
        <v>1.90719401836395</v>
      </c>
      <c r="L282" s="914">
        <v>1.9170492887496899</v>
      </c>
      <c r="M282" s="914">
        <v>1.9259506464004501</v>
      </c>
      <c r="N282" s="914">
        <v>1.94080138206482</v>
      </c>
      <c r="O282" s="914">
        <v>1.94636797904968</v>
      </c>
      <c r="P282" s="914">
        <v>1.9562891721725499</v>
      </c>
      <c r="Q282" s="914">
        <v>1.9622501134872401</v>
      </c>
      <c r="R282" s="914">
        <v>1.9753552675247199</v>
      </c>
      <c r="S282" s="914">
        <v>1.9811542034149201</v>
      </c>
      <c r="T282" s="914">
        <v>1.98549652099609</v>
      </c>
      <c r="U282" s="914">
        <v>1.9898830652236901</v>
      </c>
      <c r="V282" s="914">
        <v>1.99634909629822</v>
      </c>
      <c r="W282" s="914">
        <v>2.00744533538818</v>
      </c>
      <c r="X282" s="914">
        <v>2.0202190876007098</v>
      </c>
      <c r="Y282" s="914">
        <v>2.0336120128631601</v>
      </c>
      <c r="Z282" s="914">
        <v>2.0445194244384801</v>
      </c>
      <c r="AA282" s="306">
        <v>11.227470397949199</v>
      </c>
      <c r="AB282" s="306">
        <v>11.517865180969199</v>
      </c>
      <c r="AC282" s="306">
        <v>11.5089683532715</v>
      </c>
      <c r="AD282" s="306">
        <v>11.7493782043457</v>
      </c>
    </row>
    <row r="283" spans="1:70" x14ac:dyDescent="0.25">
      <c r="AA283" s="306">
        <v>15.2353620529175</v>
      </c>
      <c r="AB283" s="306">
        <v>15.5302953720093</v>
      </c>
      <c r="AC283" s="306">
        <v>15.500846862793001</v>
      </c>
      <c r="AD283" s="306">
        <v>15.7047281265259</v>
      </c>
    </row>
    <row r="284" spans="1:70" x14ac:dyDescent="0.25">
      <c r="A284" s="912" t="s">
        <v>625</v>
      </c>
      <c r="AA284" s="306">
        <v>7.7013258934020996</v>
      </c>
      <c r="AB284" s="306">
        <v>7.6767330169677699</v>
      </c>
      <c r="AC284" s="306">
        <v>7.8322434425354004</v>
      </c>
      <c r="AD284" s="306">
        <v>7.7872447967529297</v>
      </c>
    </row>
    <row r="285" spans="1:70" x14ac:dyDescent="0.25">
      <c r="A285" s="912" t="s">
        <v>609</v>
      </c>
      <c r="B285" s="914">
        <v>15.657142639160201</v>
      </c>
      <c r="C285" s="914">
        <v>18.5313529968262</v>
      </c>
      <c r="D285" s="914">
        <v>19.701341629028299</v>
      </c>
      <c r="E285" s="914">
        <v>16.4090671539307</v>
      </c>
      <c r="F285" s="914">
        <v>16.297544479370099</v>
      </c>
      <c r="G285" s="914">
        <v>18.4262371063232</v>
      </c>
      <c r="H285" s="914">
        <v>20.2184352874756</v>
      </c>
      <c r="I285" s="914">
        <v>21.813219070434599</v>
      </c>
      <c r="J285" s="914">
        <v>23.252103805541999</v>
      </c>
      <c r="K285" s="914">
        <v>24.811630249023398</v>
      </c>
      <c r="L285" s="914">
        <v>25.812454223632798</v>
      </c>
      <c r="M285" s="914">
        <v>26.627546310424801</v>
      </c>
      <c r="N285" s="914">
        <v>27.460300445556602</v>
      </c>
      <c r="O285" s="914">
        <v>27.8579425811768</v>
      </c>
      <c r="P285" s="914">
        <v>28.113265991210898</v>
      </c>
      <c r="Q285" s="914">
        <v>28.325565338134801</v>
      </c>
      <c r="R285" s="914">
        <v>28.4571437835693</v>
      </c>
      <c r="S285" s="914">
        <v>28.7732944488525</v>
      </c>
      <c r="T285" s="914">
        <v>28.920036315918001</v>
      </c>
      <c r="U285" s="914">
        <v>28.525373458862301</v>
      </c>
      <c r="V285" s="914">
        <v>28.814060211181602</v>
      </c>
      <c r="W285" s="914">
        <v>29.1242790222168</v>
      </c>
      <c r="X285" s="914">
        <v>29.486963272094702</v>
      </c>
      <c r="Y285" s="914">
        <v>29.629682540893601</v>
      </c>
      <c r="Z285" s="914">
        <v>30.0484523773193</v>
      </c>
      <c r="AA285" s="306">
        <v>7.8213167190551802</v>
      </c>
      <c r="AB285" s="306">
        <v>7.9383788108825701</v>
      </c>
      <c r="AC285" s="306">
        <v>8.0273618698120099</v>
      </c>
      <c r="AD285" s="306">
        <v>8.0851049423217791</v>
      </c>
    </row>
    <row r="286" spans="1:70" x14ac:dyDescent="0.25">
      <c r="A286" s="912" t="s">
        <v>618</v>
      </c>
      <c r="B286" s="914">
        <v>25.5142211914063</v>
      </c>
      <c r="C286" s="914">
        <v>26.818180084228501</v>
      </c>
      <c r="D286" s="914">
        <v>34.073703765869098</v>
      </c>
      <c r="E286" s="914">
        <v>20.3962516784668</v>
      </c>
      <c r="F286" s="914">
        <v>18.869060516357401</v>
      </c>
      <c r="G286" s="914">
        <v>22.499189376831101</v>
      </c>
      <c r="H286" s="914">
        <v>24.345371246337901</v>
      </c>
      <c r="I286" s="914">
        <v>25.8835773468018</v>
      </c>
      <c r="J286" s="914">
        <v>27.376197814941399</v>
      </c>
      <c r="K286" s="914">
        <v>25.5507621765137</v>
      </c>
      <c r="L286" s="914">
        <v>26.3307495117188</v>
      </c>
      <c r="M286" s="914">
        <v>27.042121887206999</v>
      </c>
      <c r="N286" s="914">
        <v>27.074653625488299</v>
      </c>
      <c r="O286" s="914">
        <v>28.861484527587901</v>
      </c>
      <c r="P286" s="914">
        <v>29.593324661254901</v>
      </c>
      <c r="Q286" s="914">
        <v>29.691083908081101</v>
      </c>
      <c r="R286" s="914">
        <v>29.8394565582275</v>
      </c>
      <c r="S286" s="914">
        <v>30.056737899780298</v>
      </c>
      <c r="T286" s="914">
        <v>30.123649597168001</v>
      </c>
      <c r="U286" s="914">
        <v>30.045396804809599</v>
      </c>
      <c r="V286" s="914">
        <v>30.335887908935501</v>
      </c>
      <c r="W286" s="914">
        <v>30.1821899414063</v>
      </c>
      <c r="X286" s="914">
        <v>30.567377090454102</v>
      </c>
      <c r="Y286" s="914">
        <v>31.227724075317401</v>
      </c>
      <c r="Z286" s="914">
        <v>30.935503005981399</v>
      </c>
      <c r="AA286" s="306">
        <v>2.7168338298797599</v>
      </c>
      <c r="AB286" s="306">
        <v>2.7307398319244398</v>
      </c>
      <c r="AC286" s="306">
        <v>2.7413196563720699</v>
      </c>
      <c r="AD286" s="306">
        <v>2.7546591758728001</v>
      </c>
    </row>
    <row r="287" spans="1:70" x14ac:dyDescent="0.25">
      <c r="A287" s="912" t="s">
        <v>619</v>
      </c>
      <c r="B287" s="914">
        <v>21.649000167846701</v>
      </c>
      <c r="C287" s="914">
        <v>22.8191947937012</v>
      </c>
      <c r="D287" s="914">
        <v>26.0107421875</v>
      </c>
      <c r="E287" s="914">
        <v>15.8019914627075</v>
      </c>
      <c r="F287" s="914">
        <v>17.711067199706999</v>
      </c>
      <c r="G287" s="914">
        <v>20.6589241027832</v>
      </c>
      <c r="H287" s="914">
        <v>22.298402786254901</v>
      </c>
      <c r="I287" s="914">
        <v>23.5152263641357</v>
      </c>
      <c r="J287" s="914">
        <v>24.813198089599599</v>
      </c>
      <c r="K287" s="914">
        <v>26.134485244751001</v>
      </c>
      <c r="L287" s="914">
        <v>27.0586547851563</v>
      </c>
      <c r="M287" s="914">
        <v>27.9900207519531</v>
      </c>
      <c r="N287" s="914">
        <v>28.799554824829102</v>
      </c>
      <c r="O287" s="914">
        <v>29.408401489257798</v>
      </c>
      <c r="P287" s="914">
        <v>29.935087203979499</v>
      </c>
      <c r="Q287" s="914">
        <v>30.054672241210898</v>
      </c>
      <c r="R287" s="914">
        <v>30.314332962036101</v>
      </c>
      <c r="S287" s="914">
        <v>30.492042541503899</v>
      </c>
      <c r="T287" s="914">
        <v>30.525100708007798</v>
      </c>
      <c r="U287" s="914">
        <v>30.442491531372099</v>
      </c>
      <c r="V287" s="914">
        <v>30.723676681518601</v>
      </c>
      <c r="W287" s="914">
        <v>30.701581954956101</v>
      </c>
      <c r="X287" s="914">
        <v>31.107343673706101</v>
      </c>
      <c r="Y287" s="914">
        <v>31.957983016967798</v>
      </c>
      <c r="Z287" s="914">
        <v>31.580909729003899</v>
      </c>
      <c r="AA287" s="306">
        <v>1.67883205413818</v>
      </c>
      <c r="AB287" s="306">
        <v>1.6938681602478001</v>
      </c>
      <c r="AC287" s="306">
        <v>1.7024568319320701</v>
      </c>
      <c r="AD287" s="306">
        <v>1.71655297279358</v>
      </c>
    </row>
    <row r="288" spans="1:70" x14ac:dyDescent="0.25">
      <c r="A288" s="912" t="s">
        <v>626</v>
      </c>
      <c r="B288" s="914">
        <v>15.2446508407593</v>
      </c>
      <c r="C288" s="914">
        <v>16.0964660644531</v>
      </c>
      <c r="D288" s="914">
        <v>22.1856594085693</v>
      </c>
      <c r="E288" s="914">
        <v>10.540905952453601</v>
      </c>
      <c r="F288" s="914">
        <v>10.4131317138672</v>
      </c>
      <c r="G288" s="914">
        <v>12.992267608642599</v>
      </c>
      <c r="H288" s="914">
        <v>14.8510446548462</v>
      </c>
      <c r="I288" s="914">
        <v>16.4927158355713</v>
      </c>
      <c r="J288" s="914">
        <v>17.888269424438501</v>
      </c>
      <c r="K288" s="914">
        <v>19.120731353759801</v>
      </c>
      <c r="L288" s="914">
        <v>20.025011062622099</v>
      </c>
      <c r="M288" s="914">
        <v>20.925888061523398</v>
      </c>
      <c r="N288" s="914">
        <v>21.650459289550799</v>
      </c>
      <c r="O288" s="914">
        <v>22.054113388061499</v>
      </c>
      <c r="P288" s="914">
        <v>22.358533859252901</v>
      </c>
      <c r="Q288" s="914">
        <v>22.535087585449201</v>
      </c>
      <c r="R288" s="914">
        <v>22.624557495117202</v>
      </c>
      <c r="S288" s="914">
        <v>22.875423431396499</v>
      </c>
      <c r="T288" s="914">
        <v>23.088819503784201</v>
      </c>
      <c r="U288" s="914">
        <v>22.878332138061499</v>
      </c>
      <c r="V288" s="914">
        <v>23.229129791259801</v>
      </c>
      <c r="W288" s="914">
        <v>23.440977096557599</v>
      </c>
      <c r="X288" s="914">
        <v>23.911849975585898</v>
      </c>
      <c r="Y288" s="914">
        <v>24.3618278503418</v>
      </c>
      <c r="Z288" s="914">
        <v>24.669164657592798</v>
      </c>
      <c r="AA288" s="306">
        <v>1.2833950519561801</v>
      </c>
      <c r="AB288" s="306">
        <v>1.3286876678466799</v>
      </c>
      <c r="AC288" s="306">
        <v>1.33012855052948</v>
      </c>
      <c r="AD288" s="306">
        <v>1.33445107936859</v>
      </c>
    </row>
    <row r="289" spans="1:30" x14ac:dyDescent="0.25">
      <c r="A289" s="912" t="s">
        <v>610</v>
      </c>
      <c r="B289" s="914">
        <v>19.171348571777301</v>
      </c>
      <c r="C289" s="914">
        <v>19.9431552886963</v>
      </c>
      <c r="D289" s="914">
        <v>25.721439361572301</v>
      </c>
      <c r="E289" s="914">
        <v>15.1513471603394</v>
      </c>
      <c r="F289" s="914">
        <v>13.5963325500488</v>
      </c>
      <c r="G289" s="914">
        <v>16.098552703857401</v>
      </c>
      <c r="H289" s="914">
        <v>18.014595031738299</v>
      </c>
      <c r="I289" s="914">
        <v>20.0945529937744</v>
      </c>
      <c r="J289" s="914">
        <v>21.487236022949201</v>
      </c>
      <c r="K289" s="914">
        <v>22.551927566528299</v>
      </c>
      <c r="L289" s="914">
        <v>23.4185886383057</v>
      </c>
      <c r="M289" s="914">
        <v>24.295482635498001</v>
      </c>
      <c r="N289" s="914">
        <v>25.028078079223601</v>
      </c>
      <c r="O289" s="914">
        <v>25.4735622406006</v>
      </c>
      <c r="P289" s="914">
        <v>25.7968635559082</v>
      </c>
      <c r="Q289" s="914">
        <v>25.744600296020501</v>
      </c>
      <c r="R289" s="914">
        <v>26.0401725769043</v>
      </c>
      <c r="S289" s="914">
        <v>26.245742797851602</v>
      </c>
      <c r="T289" s="914">
        <v>26.316581726074201</v>
      </c>
      <c r="U289" s="914">
        <v>26.282798767089801</v>
      </c>
      <c r="V289" s="914">
        <v>26.623888015747099</v>
      </c>
      <c r="W289" s="914">
        <v>26.532428741455099</v>
      </c>
      <c r="X289" s="914">
        <v>26.9911499023438</v>
      </c>
      <c r="Y289" s="914">
        <v>27.692060470581101</v>
      </c>
      <c r="Z289" s="914">
        <v>27.7130451202393</v>
      </c>
      <c r="AA289" s="306">
        <v>23.429731369018601</v>
      </c>
      <c r="AB289" s="306">
        <v>23.480413436889599</v>
      </c>
      <c r="AC289" s="306">
        <v>23.589033126831101</v>
      </c>
      <c r="AD289" s="306">
        <v>23.596023559570298</v>
      </c>
    </row>
    <row r="290" spans="1:30" x14ac:dyDescent="0.25">
      <c r="A290" s="912" t="s">
        <v>611</v>
      </c>
      <c r="B290" s="914">
        <v>8.4246683120727504</v>
      </c>
      <c r="C290" s="914">
        <v>9.3672227859497106</v>
      </c>
      <c r="D290" s="914">
        <v>14.1781015396118</v>
      </c>
      <c r="E290" s="914">
        <v>6.5043296813964799</v>
      </c>
      <c r="F290" s="914">
        <v>6.9149212837219203</v>
      </c>
      <c r="G290" s="914">
        <v>9.2013835906982404</v>
      </c>
      <c r="H290" s="914">
        <v>10.8588418960571</v>
      </c>
      <c r="I290" s="914">
        <v>12.3554439544678</v>
      </c>
      <c r="J290" s="914">
        <v>13.5696716308594</v>
      </c>
      <c r="K290" s="914">
        <v>14.9571332931519</v>
      </c>
      <c r="L290" s="914">
        <v>15.7562828063965</v>
      </c>
      <c r="M290" s="914">
        <v>16.419845581054702</v>
      </c>
      <c r="N290" s="914">
        <v>17.090215682983398</v>
      </c>
      <c r="O290" s="914">
        <v>17.3671054840088</v>
      </c>
      <c r="P290" s="914">
        <v>17.589653015136701</v>
      </c>
      <c r="Q290" s="914">
        <v>17.8480415344238</v>
      </c>
      <c r="R290" s="914">
        <v>17.911899566650401</v>
      </c>
      <c r="S290" s="914">
        <v>18.041828155517599</v>
      </c>
      <c r="T290" s="914">
        <v>18.112939834594702</v>
      </c>
      <c r="U290" s="914">
        <v>17.862413406372099</v>
      </c>
      <c r="V290" s="914">
        <v>18.047613143920898</v>
      </c>
      <c r="W290" s="914">
        <v>18.333000183105501</v>
      </c>
      <c r="X290" s="914">
        <v>18.6528930664063</v>
      </c>
      <c r="Y290" s="914">
        <v>18.8375339508057</v>
      </c>
      <c r="Z290" s="914">
        <v>19.187860488891602</v>
      </c>
      <c r="AA290" s="306"/>
      <c r="AB290" s="306"/>
      <c r="AC290" s="306"/>
      <c r="AD290" s="306"/>
    </row>
    <row r="291" spans="1:30" x14ac:dyDescent="0.25">
      <c r="A291" s="912" t="s">
        <v>510</v>
      </c>
      <c r="B291" s="914">
        <v>9.5015735626220703</v>
      </c>
      <c r="C291" s="914">
        <v>9.0060253143310494</v>
      </c>
      <c r="D291" s="914">
        <v>10.1816816329956</v>
      </c>
      <c r="E291" s="914">
        <v>6.76324558258057</v>
      </c>
      <c r="F291" s="914">
        <v>7.4289712905883798</v>
      </c>
      <c r="G291" s="914">
        <v>7.7374553680419904</v>
      </c>
      <c r="H291" s="914">
        <v>7.7907910346984899</v>
      </c>
      <c r="I291" s="914">
        <v>7.79954290390015</v>
      </c>
      <c r="J291" s="914">
        <v>7.91036033630371</v>
      </c>
      <c r="K291" s="914">
        <v>8.0721502304077095</v>
      </c>
      <c r="L291" s="914">
        <v>8.2674913406372106</v>
      </c>
      <c r="M291" s="914">
        <v>8.4630060195922905</v>
      </c>
      <c r="N291" s="914">
        <v>8.6615943908691406</v>
      </c>
      <c r="O291" s="914">
        <v>8.9140930175781303</v>
      </c>
      <c r="P291" s="914">
        <v>9.2212562561035192</v>
      </c>
      <c r="Q291" s="914">
        <v>9.4307956695556605</v>
      </c>
      <c r="R291" s="914">
        <v>9.4883728027343803</v>
      </c>
      <c r="S291" s="914">
        <v>9.2674760818481392</v>
      </c>
      <c r="T291" s="914">
        <v>9.2395153045654297</v>
      </c>
      <c r="U291" s="914">
        <v>9.1623344421386701</v>
      </c>
      <c r="V291" s="914">
        <v>9.3142642974853498</v>
      </c>
      <c r="W291" s="914">
        <v>9.5711297988891602</v>
      </c>
      <c r="X291" s="914">
        <v>9.9057645797729492</v>
      </c>
      <c r="Y291" s="914">
        <v>10.151716232299799</v>
      </c>
      <c r="Z291" s="914">
        <v>10.4206848144531</v>
      </c>
      <c r="AA291" s="306"/>
      <c r="AB291" s="306"/>
      <c r="AC291" s="306"/>
      <c r="AD291" s="306"/>
    </row>
    <row r="292" spans="1:30" x14ac:dyDescent="0.25">
      <c r="A292" s="912" t="s">
        <v>614</v>
      </c>
      <c r="B292" s="914">
        <v>3.6353600025177002</v>
      </c>
      <c r="C292" s="914">
        <v>3.6099998950958301</v>
      </c>
      <c r="D292" s="914">
        <v>4.0558156967163104</v>
      </c>
      <c r="E292" s="914">
        <v>4.0487108230590803</v>
      </c>
      <c r="F292" s="914">
        <v>3.9977276325225799</v>
      </c>
      <c r="G292" s="914">
        <v>4.1121706962585396</v>
      </c>
      <c r="H292" s="914">
        <v>4.1809573173522896</v>
      </c>
      <c r="I292" s="914">
        <v>4.2343683242797896</v>
      </c>
      <c r="J292" s="914">
        <v>4.27162742614746</v>
      </c>
      <c r="K292" s="914">
        <v>4.2985162734985396</v>
      </c>
      <c r="L292" s="914">
        <v>4.3192996978759801</v>
      </c>
      <c r="M292" s="914">
        <v>4.3337044715881303</v>
      </c>
      <c r="N292" s="914">
        <v>4.3530845642089799</v>
      </c>
      <c r="O292" s="914">
        <v>4.3696141242981001</v>
      </c>
      <c r="P292" s="914">
        <v>4.3899216651916504</v>
      </c>
      <c r="Q292" s="914">
        <v>4.4470157623290998</v>
      </c>
      <c r="R292" s="914">
        <v>4.5093812942504901</v>
      </c>
      <c r="S292" s="914">
        <v>4.5352845191955602</v>
      </c>
      <c r="T292" s="914">
        <v>4.5618190765380904</v>
      </c>
      <c r="U292" s="914">
        <v>4.5643453598022496</v>
      </c>
      <c r="V292" s="914">
        <v>4.5493078231811497</v>
      </c>
      <c r="W292" s="914">
        <v>4.5490665435790998</v>
      </c>
      <c r="X292" s="914">
        <v>4.5331215858459499</v>
      </c>
      <c r="Y292" s="914">
        <v>4.4955492019653303</v>
      </c>
      <c r="Z292" s="914">
        <v>4.4319190979003897</v>
      </c>
      <c r="AA292" s="306">
        <v>253.732666015625</v>
      </c>
      <c r="AB292" s="306">
        <v>257.28918457031301</v>
      </c>
      <c r="AC292" s="306">
        <v>259.96432495117199</v>
      </c>
      <c r="AD292" s="306">
        <v>262.21316528320301</v>
      </c>
    </row>
    <row r="293" spans="1:30" x14ac:dyDescent="0.25">
      <c r="A293" s="912" t="s">
        <v>627</v>
      </c>
      <c r="B293" s="914">
        <v>1.7776364088058501</v>
      </c>
      <c r="C293" s="914">
        <v>1.81885313987732</v>
      </c>
      <c r="D293" s="914">
        <v>1.9676311016082799</v>
      </c>
      <c r="E293" s="914">
        <v>2.0067975521087602</v>
      </c>
      <c r="F293" s="914">
        <v>1.88941025733948</v>
      </c>
      <c r="G293" s="914">
        <v>1.9042230844497701</v>
      </c>
      <c r="H293" s="914">
        <v>1.89033174514771</v>
      </c>
      <c r="I293" s="914">
        <v>1.9154095649719201</v>
      </c>
      <c r="J293" s="914">
        <v>1.93832087516785</v>
      </c>
      <c r="K293" s="914">
        <v>1.94072294235229</v>
      </c>
      <c r="L293" s="914">
        <v>1.9500694274902299</v>
      </c>
      <c r="M293" s="914">
        <v>1.9586881399154701</v>
      </c>
      <c r="N293" s="914">
        <v>1.9732190370559699</v>
      </c>
      <c r="O293" s="914">
        <v>1.9783339500427199</v>
      </c>
      <c r="P293" s="914">
        <v>1.98810267448425</v>
      </c>
      <c r="Q293" s="914">
        <v>1.9938982725143399</v>
      </c>
      <c r="R293" s="914">
        <v>2.0064799785614</v>
      </c>
      <c r="S293" s="914">
        <v>2.0119984149932901</v>
      </c>
      <c r="T293" s="914">
        <v>2.0163278579711901</v>
      </c>
      <c r="U293" s="914">
        <v>2.0205180644989</v>
      </c>
      <c r="V293" s="914">
        <v>2.0271856784820601</v>
      </c>
      <c r="W293" s="914">
        <v>2.0382561683654798</v>
      </c>
      <c r="X293" s="914">
        <v>2.0508835315704301</v>
      </c>
      <c r="Y293" s="914">
        <v>2.0641281604766801</v>
      </c>
      <c r="Z293" s="914">
        <v>2.0750961303710902</v>
      </c>
      <c r="AA293" s="306">
        <v>208.50216674804699</v>
      </c>
      <c r="AB293" s="306">
        <v>213.246017456055</v>
      </c>
      <c r="AC293" s="306">
        <v>217.97378540039099</v>
      </c>
      <c r="AD293" s="306">
        <v>222.08200073242199</v>
      </c>
    </row>
    <row r="294" spans="1:30" x14ac:dyDescent="0.25">
      <c r="A294" s="912" t="s">
        <v>616</v>
      </c>
      <c r="B294" s="914">
        <v>0</v>
      </c>
      <c r="C294" s="914">
        <v>0</v>
      </c>
      <c r="D294" s="914">
        <v>0</v>
      </c>
      <c r="E294" s="914">
        <v>0</v>
      </c>
      <c r="F294" s="914">
        <v>0</v>
      </c>
      <c r="G294" s="914">
        <v>1.5133428573608401</v>
      </c>
      <c r="H294" s="914">
        <v>1.3742095232009901</v>
      </c>
      <c r="I294" s="914">
        <v>1.19064140319824</v>
      </c>
      <c r="J294" s="914">
        <v>1.3664953708648699</v>
      </c>
      <c r="K294" s="914">
        <v>1.33487153053284</v>
      </c>
      <c r="L294" s="914">
        <v>1.31654036045074</v>
      </c>
      <c r="M294" s="914">
        <v>1.30223417282104</v>
      </c>
      <c r="N294" s="914">
        <v>1.30838906764984</v>
      </c>
      <c r="O294" s="914">
        <v>1.32146644592285</v>
      </c>
      <c r="P294" s="914">
        <v>1.3489345312118499</v>
      </c>
      <c r="Q294" s="914">
        <v>1.3524934053421001</v>
      </c>
      <c r="R294" s="914">
        <v>1.3570195436477701</v>
      </c>
      <c r="S294" s="914">
        <v>1.3626403808593801</v>
      </c>
      <c r="T294" s="914">
        <v>1.37119424343109</v>
      </c>
      <c r="U294" s="914">
        <v>1.3635557889938399</v>
      </c>
      <c r="V294" s="914">
        <v>1.3662919998168901</v>
      </c>
      <c r="W294" s="914">
        <v>1.37254309654236</v>
      </c>
      <c r="X294" s="914">
        <v>1.37609398365021</v>
      </c>
      <c r="Y294" s="914">
        <v>1.3784751892089799</v>
      </c>
      <c r="Z294" s="914">
        <v>1.3805129528045701</v>
      </c>
      <c r="AA294" s="306">
        <v>212.89649963378901</v>
      </c>
      <c r="AB294" s="306">
        <v>216.30204772949199</v>
      </c>
      <c r="AC294" s="306">
        <v>219.267822265625</v>
      </c>
      <c r="AD294" s="306">
        <v>222.079177856445</v>
      </c>
    </row>
    <row r="295" spans="1:30" x14ac:dyDescent="0.25">
      <c r="A295" s="912" t="s">
        <v>479</v>
      </c>
      <c r="B295" s="914">
        <v>26.672916412353501</v>
      </c>
      <c r="C295" s="914">
        <v>26.680915832519499</v>
      </c>
      <c r="D295" s="914">
        <v>27.799331665039102</v>
      </c>
      <c r="E295" s="914">
        <v>26.6892414093018</v>
      </c>
      <c r="F295" s="914">
        <v>24.2756156921387</v>
      </c>
      <c r="G295" s="914">
        <v>25.0947151184082</v>
      </c>
      <c r="H295" s="914">
        <v>25.0493679046631</v>
      </c>
      <c r="I295" s="914">
        <v>25.093559265136701</v>
      </c>
      <c r="J295" s="914">
        <v>25.339256286621101</v>
      </c>
      <c r="K295" s="914">
        <v>25.454051971435501</v>
      </c>
      <c r="L295" s="914">
        <v>25.7708930969238</v>
      </c>
      <c r="M295" s="914">
        <v>26.1124782562256</v>
      </c>
      <c r="N295" s="914">
        <v>26.474697113037099</v>
      </c>
      <c r="O295" s="914">
        <v>26.7419338226318</v>
      </c>
      <c r="P295" s="914">
        <v>27.1641750335693</v>
      </c>
      <c r="Q295" s="914">
        <v>27.529588699340799</v>
      </c>
      <c r="R295" s="914">
        <v>27.7828693389893</v>
      </c>
      <c r="S295" s="914">
        <v>27.754991531372099</v>
      </c>
      <c r="T295" s="914">
        <v>27.792310714721701</v>
      </c>
      <c r="U295" s="914">
        <v>27.7856330871582</v>
      </c>
      <c r="V295" s="914">
        <v>27.867961883544901</v>
      </c>
      <c r="W295" s="914">
        <v>28.2280673980713</v>
      </c>
      <c r="X295" s="914">
        <v>28.6754856109619</v>
      </c>
      <c r="Y295" s="914">
        <v>29.0858860015869</v>
      </c>
      <c r="Z295" s="914">
        <v>29.4564533233643</v>
      </c>
      <c r="AA295" s="306">
        <v>588.97521972656295</v>
      </c>
      <c r="AB295" s="306">
        <v>607.12139892578102</v>
      </c>
      <c r="AC295" s="306">
        <v>615.45501708984398</v>
      </c>
      <c r="AD295" s="306">
        <v>632.78991699218795</v>
      </c>
    </row>
    <row r="296" spans="1:30" x14ac:dyDescent="0.25">
      <c r="AA296" s="306">
        <v>1264.10656738281</v>
      </c>
      <c r="AB296" s="306">
        <v>1293.95861816406</v>
      </c>
      <c r="AC296" s="306">
        <v>1312.66088867188</v>
      </c>
      <c r="AD296" s="306">
        <v>1339.16430664063</v>
      </c>
    </row>
    <row r="297" spans="1:30" x14ac:dyDescent="0.25">
      <c r="A297" s="912" t="s">
        <v>513</v>
      </c>
      <c r="AA297" s="306">
        <v>0.38684526085853599</v>
      </c>
      <c r="AB297" s="306">
        <v>0.443235874176025</v>
      </c>
      <c r="AC297" s="306">
        <v>0.46923574805259699</v>
      </c>
      <c r="AD297" s="306">
        <v>0.51463860273361195</v>
      </c>
    </row>
    <row r="298" spans="1:30" x14ac:dyDescent="0.25">
      <c r="A298" s="912" t="s">
        <v>725</v>
      </c>
      <c r="AA298" s="306">
        <v>1264.49340820313</v>
      </c>
      <c r="AB298" s="306">
        <v>1294.40185546875</v>
      </c>
      <c r="AC298" s="306">
        <v>1313.13012695313</v>
      </c>
      <c r="AD298" s="306">
        <v>1339.67895507813</v>
      </c>
    </row>
    <row r="299" spans="1:30" x14ac:dyDescent="0.25">
      <c r="A299" s="912" t="s">
        <v>473</v>
      </c>
      <c r="B299" s="914">
        <v>231.10064697265599</v>
      </c>
      <c r="C299" s="914">
        <v>238.40081787109401</v>
      </c>
      <c r="D299" s="914">
        <v>250.00378417968801</v>
      </c>
      <c r="E299" s="914">
        <v>223.81915283203099</v>
      </c>
      <c r="F299" s="914">
        <v>215.29118347168</v>
      </c>
      <c r="G299" s="914">
        <v>224.09677124023401</v>
      </c>
      <c r="H299" s="914">
        <v>227.34310913085901</v>
      </c>
      <c r="I299" s="914">
        <v>227.85260009765599</v>
      </c>
      <c r="J299" s="914">
        <v>231.24415588378901</v>
      </c>
      <c r="K299" s="914">
        <v>234.18721008300801</v>
      </c>
      <c r="L299" s="914">
        <v>238.75100708007801</v>
      </c>
      <c r="M299" s="914">
        <v>243.18489074707</v>
      </c>
      <c r="N299" s="914">
        <v>248.169021606445</v>
      </c>
      <c r="O299" s="914">
        <v>252.72660827636699</v>
      </c>
      <c r="P299" s="914">
        <v>258.44952392578102</v>
      </c>
      <c r="Q299" s="914">
        <v>262.50808715820301</v>
      </c>
      <c r="R299" s="914">
        <v>265.94851684570301</v>
      </c>
      <c r="S299" s="914">
        <v>267.30322265625</v>
      </c>
      <c r="T299" s="914">
        <v>270.58847045898398</v>
      </c>
      <c r="U299" s="914">
        <v>272.04168701171898</v>
      </c>
      <c r="V299" s="914">
        <v>276.25186157226602</v>
      </c>
      <c r="W299" s="914">
        <v>282.20260620117199</v>
      </c>
      <c r="X299" s="914">
        <v>288.93267822265602</v>
      </c>
      <c r="Y299" s="914">
        <v>293.60751342773398</v>
      </c>
      <c r="Z299" s="914">
        <v>298.90402221679699</v>
      </c>
      <c r="AA299" s="306"/>
      <c r="AB299" s="306"/>
      <c r="AC299" s="306"/>
      <c r="AD299" s="306"/>
    </row>
    <row r="300" spans="1:30" x14ac:dyDescent="0.25">
      <c r="A300" s="912" t="s">
        <v>480</v>
      </c>
      <c r="B300" s="914">
        <v>170.28274536132801</v>
      </c>
      <c r="C300" s="914">
        <v>172.89260864257801</v>
      </c>
      <c r="D300" s="914">
        <v>183.352294921875</v>
      </c>
      <c r="E300" s="914">
        <v>163.89425659179699</v>
      </c>
      <c r="F300" s="914">
        <v>157.14476013183599</v>
      </c>
      <c r="G300" s="914">
        <v>164.69047546386699</v>
      </c>
      <c r="H300" s="914">
        <v>166.42567443847699</v>
      </c>
      <c r="I300" s="914">
        <v>169.00093078613301</v>
      </c>
      <c r="J300" s="914">
        <v>173.04789733886699</v>
      </c>
      <c r="K300" s="914">
        <v>176.93461608886699</v>
      </c>
      <c r="L300" s="914">
        <v>182.04042053222699</v>
      </c>
      <c r="M300" s="914">
        <v>187.24485778808599</v>
      </c>
      <c r="N300" s="914">
        <v>192.69107055664099</v>
      </c>
      <c r="O300" s="914">
        <v>197.508544921875</v>
      </c>
      <c r="P300" s="914">
        <v>203.26272583007801</v>
      </c>
      <c r="Q300" s="914">
        <v>208.31881713867199</v>
      </c>
      <c r="R300" s="914">
        <v>212.33370971679699</v>
      </c>
      <c r="S300" s="914">
        <v>214.22947692871099</v>
      </c>
      <c r="T300" s="914">
        <v>217.23475646972699</v>
      </c>
      <c r="U300" s="914">
        <v>219.65505981445301</v>
      </c>
      <c r="V300" s="914">
        <v>223.61666870117199</v>
      </c>
      <c r="W300" s="914">
        <v>229.31947326660199</v>
      </c>
      <c r="X300" s="914">
        <v>235.82908630371099</v>
      </c>
      <c r="Y300" s="914">
        <v>241.79779052734401</v>
      </c>
      <c r="Z300" s="914">
        <v>247.76422119140599</v>
      </c>
      <c r="AA300" s="306"/>
      <c r="AB300" s="306"/>
      <c r="AC300" s="306"/>
      <c r="AD300" s="306"/>
    </row>
    <row r="301" spans="1:30" x14ac:dyDescent="0.25">
      <c r="A301" s="912" t="s">
        <v>515</v>
      </c>
      <c r="B301" s="914">
        <v>216.08058166503901</v>
      </c>
      <c r="C301" s="914">
        <v>226.88609313964801</v>
      </c>
      <c r="D301" s="914">
        <v>248.66896057128901</v>
      </c>
      <c r="E301" s="914">
        <v>181.39601135253901</v>
      </c>
      <c r="F301" s="914">
        <v>151.70443725585901</v>
      </c>
      <c r="G301" s="914">
        <v>172.23597717285199</v>
      </c>
      <c r="H301" s="914">
        <v>186.63681030273401</v>
      </c>
      <c r="I301" s="914">
        <v>200.19924926757801</v>
      </c>
      <c r="J301" s="914">
        <v>207.03741455078099</v>
      </c>
      <c r="K301" s="914">
        <v>213.45352172851599</v>
      </c>
      <c r="L301" s="914">
        <v>218.62767028808599</v>
      </c>
      <c r="M301" s="914">
        <v>224.29528808593801</v>
      </c>
      <c r="N301" s="914">
        <v>229.96401977539099</v>
      </c>
      <c r="O301" s="914">
        <v>233.76069641113301</v>
      </c>
      <c r="P301" s="914">
        <v>239.065841674805</v>
      </c>
      <c r="Q301" s="914">
        <v>241.45851135253901</v>
      </c>
      <c r="R301" s="914">
        <v>242.383544921875</v>
      </c>
      <c r="S301" s="914">
        <v>242.41815185546901</v>
      </c>
      <c r="T301" s="914">
        <v>242.89247131347699</v>
      </c>
      <c r="U301" s="914">
        <v>240.916915893555</v>
      </c>
      <c r="V301" s="914">
        <v>241.41357421875</v>
      </c>
      <c r="W301" s="914">
        <v>242.50785827636699</v>
      </c>
      <c r="X301" s="914">
        <v>244.85752868652301</v>
      </c>
      <c r="Y301" s="914">
        <v>245.86729431152301</v>
      </c>
      <c r="Z301" s="914">
        <v>245.87216186523401</v>
      </c>
      <c r="AA301" s="306"/>
      <c r="AB301" s="306"/>
      <c r="AC301" s="306"/>
      <c r="AD301" s="306"/>
    </row>
    <row r="302" spans="1:30" x14ac:dyDescent="0.25">
      <c r="A302" s="912" t="s">
        <v>487</v>
      </c>
      <c r="B302" s="914">
        <v>564.62982177734398</v>
      </c>
      <c r="C302" s="914">
        <v>596.84759521484398</v>
      </c>
      <c r="D302" s="914">
        <v>693.65460205078102</v>
      </c>
      <c r="E302" s="914">
        <v>393.76574707031301</v>
      </c>
      <c r="F302" s="914">
        <v>430.90808105468801</v>
      </c>
      <c r="G302" s="914">
        <v>516.84307861328102</v>
      </c>
      <c r="H302" s="914">
        <v>568.141357421875</v>
      </c>
      <c r="I302" s="914">
        <v>610.89111328125</v>
      </c>
      <c r="J302" s="914">
        <v>646.41064453125</v>
      </c>
      <c r="K302" s="914">
        <v>676.39013671875</v>
      </c>
      <c r="L302" s="914">
        <v>696.72686767578102</v>
      </c>
      <c r="M302" s="914">
        <v>719.33160400390602</v>
      </c>
      <c r="N302" s="914">
        <v>737.13671875</v>
      </c>
      <c r="O302" s="914">
        <v>750.27301025390602</v>
      </c>
      <c r="P302" s="914">
        <v>759.33123779296898</v>
      </c>
      <c r="Q302" s="914">
        <v>760.33734130859398</v>
      </c>
      <c r="R302" s="914">
        <v>761.04602050781295</v>
      </c>
      <c r="S302" s="914">
        <v>771.55059814453102</v>
      </c>
      <c r="T302" s="914">
        <v>780.57421875</v>
      </c>
      <c r="U302" s="914">
        <v>783.147216796875</v>
      </c>
      <c r="V302" s="914">
        <v>796.70227050781295</v>
      </c>
      <c r="W302" s="914">
        <v>794.56842041015602</v>
      </c>
      <c r="X302" s="914">
        <v>811.39251708984398</v>
      </c>
      <c r="Y302" s="914">
        <v>832.07995605468795</v>
      </c>
      <c r="Z302" s="914">
        <v>835.36431884765602</v>
      </c>
      <c r="AA302" s="306"/>
      <c r="AB302" s="306"/>
      <c r="AC302" s="306"/>
      <c r="AD302" s="306"/>
    </row>
    <row r="303" spans="1:30" x14ac:dyDescent="0.25">
      <c r="A303" s="912" t="s">
        <v>516</v>
      </c>
      <c r="B303" s="914">
        <v>1182.09375</v>
      </c>
      <c r="C303" s="914">
        <v>1235.02709960938</v>
      </c>
      <c r="D303" s="914">
        <v>1375.6796875</v>
      </c>
      <c r="E303" s="914">
        <v>962.87518310546898</v>
      </c>
      <c r="F303" s="914">
        <v>955.04846191406295</v>
      </c>
      <c r="G303" s="914">
        <v>1077.86633300781</v>
      </c>
      <c r="H303" s="914">
        <v>1148.54699707031</v>
      </c>
      <c r="I303" s="914">
        <v>1207.94384765625</v>
      </c>
      <c r="J303" s="914">
        <v>1257.74011230469</v>
      </c>
      <c r="K303" s="914">
        <v>1300.96545410156</v>
      </c>
      <c r="L303" s="914">
        <v>1336.14599609375</v>
      </c>
      <c r="M303" s="914">
        <v>1374.056640625</v>
      </c>
      <c r="N303" s="914">
        <v>1407.96081542969</v>
      </c>
      <c r="O303" s="914">
        <v>1434.26879882813</v>
      </c>
      <c r="P303" s="914">
        <v>1460.109375</v>
      </c>
      <c r="Q303" s="914">
        <v>1472.62280273438</v>
      </c>
      <c r="R303" s="914">
        <v>1481.71179199219</v>
      </c>
      <c r="S303" s="914">
        <v>1495.50146484375</v>
      </c>
      <c r="T303" s="914">
        <v>1511.28991699219</v>
      </c>
      <c r="U303" s="914">
        <v>1515.76086425781</v>
      </c>
      <c r="V303" s="914">
        <v>1537.984375</v>
      </c>
      <c r="W303" s="914">
        <v>1548.59838867188</v>
      </c>
      <c r="X303" s="914">
        <v>1581.01184082031</v>
      </c>
      <c r="Y303" s="914">
        <v>1613.3525390625</v>
      </c>
      <c r="Z303" s="914">
        <v>1627.90478515625</v>
      </c>
      <c r="AA303" s="306"/>
      <c r="AB303" s="306"/>
      <c r="AC303" s="306"/>
      <c r="AD303" s="306"/>
    </row>
    <row r="304" spans="1:30" x14ac:dyDescent="0.25">
      <c r="A304" s="912" t="s">
        <v>629</v>
      </c>
      <c r="B304" s="914">
        <v>3.2131362706422799E-2</v>
      </c>
      <c r="C304" s="914">
        <v>4.0145620703697198E-2</v>
      </c>
      <c r="D304" s="914">
        <v>3.7687420845031697E-2</v>
      </c>
      <c r="E304" s="914">
        <v>2.54867300391197E-2</v>
      </c>
      <c r="F304" s="914">
        <v>5.4010055959224701E-2</v>
      </c>
      <c r="G304" s="914">
        <v>6.77362531423569E-2</v>
      </c>
      <c r="H304" s="914">
        <v>8.3178348839283003E-2</v>
      </c>
      <c r="I304" s="914">
        <v>9.4869345426559407E-2</v>
      </c>
      <c r="J304" s="914">
        <v>0.113030456006527</v>
      </c>
      <c r="K304" s="914">
        <v>1.97330021858215</v>
      </c>
      <c r="L304" s="914">
        <v>4.8567194938659703</v>
      </c>
      <c r="M304" s="914">
        <v>6.7303171157836896</v>
      </c>
      <c r="N304" s="914">
        <v>10.514961242675801</v>
      </c>
      <c r="O304" s="914">
        <v>15.7356252670288</v>
      </c>
      <c r="P304" s="914">
        <v>22.100711822509801</v>
      </c>
      <c r="Q304" s="914">
        <v>25.9892463684082</v>
      </c>
      <c r="R304" s="914">
        <v>35.539012908935497</v>
      </c>
      <c r="S304" s="914">
        <v>35.597633361816399</v>
      </c>
      <c r="T304" s="914">
        <v>34.1677055358887</v>
      </c>
      <c r="U304" s="914">
        <v>35.613494873046903</v>
      </c>
      <c r="V304" s="914">
        <v>37.140151977539098</v>
      </c>
      <c r="W304" s="914">
        <v>45.276290893554702</v>
      </c>
      <c r="X304" s="914">
        <v>47.974498748779297</v>
      </c>
      <c r="Y304" s="914">
        <v>53.190200805664098</v>
      </c>
      <c r="Z304" s="914">
        <v>54.179977416992202</v>
      </c>
      <c r="AA304" s="306"/>
      <c r="AB304" s="306"/>
      <c r="AC304" s="306"/>
      <c r="AD304" s="306"/>
    </row>
    <row r="305" spans="1:30" x14ac:dyDescent="0.25">
      <c r="A305" s="912" t="s">
        <v>518</v>
      </c>
      <c r="B305" s="914">
        <v>1182.12585449219</v>
      </c>
      <c r="C305" s="914">
        <v>1235.06726074219</v>
      </c>
      <c r="D305" s="914">
        <v>1375.71740722656</v>
      </c>
      <c r="E305" s="914">
        <v>962.90069580078102</v>
      </c>
      <c r="F305" s="914">
        <v>955.10247802734398</v>
      </c>
      <c r="G305" s="914">
        <v>1077.93408203125</v>
      </c>
      <c r="H305" s="914">
        <v>1148.63012695313</v>
      </c>
      <c r="I305" s="914">
        <v>1208.03869628906</v>
      </c>
      <c r="J305" s="914">
        <v>1257.85314941406</v>
      </c>
      <c r="K305" s="914">
        <v>1302.93872070313</v>
      </c>
      <c r="L305" s="914">
        <v>1341.00268554688</v>
      </c>
      <c r="M305" s="914">
        <v>1380.78698730469</v>
      </c>
      <c r="N305" s="914">
        <v>1418.47583007813</v>
      </c>
      <c r="O305" s="914">
        <v>1450.00439453125</v>
      </c>
      <c r="P305" s="914">
        <v>1482.21008300781</v>
      </c>
      <c r="Q305" s="914">
        <v>1498.61206054688</v>
      </c>
      <c r="R305" s="914">
        <v>1517.25085449219</v>
      </c>
      <c r="S305" s="914">
        <v>1531.09912109375</v>
      </c>
      <c r="T305" s="914">
        <v>1545.45764160156</v>
      </c>
      <c r="U305" s="914">
        <v>1551.37438964844</v>
      </c>
      <c r="V305" s="914">
        <v>1575.12451171875</v>
      </c>
      <c r="W305" s="914">
        <v>1593.87463378906</v>
      </c>
      <c r="X305" s="914">
        <v>1628.986328125</v>
      </c>
      <c r="Y305" s="914">
        <v>1666.54272460938</v>
      </c>
      <c r="Z305" s="914">
        <v>1682.08471679688</v>
      </c>
      <c r="AA305" s="306"/>
      <c r="AB305" s="306"/>
      <c r="AC305" s="306"/>
      <c r="AD305" s="306"/>
    </row>
    <row r="306" spans="1:30" x14ac:dyDescent="0.25">
      <c r="AA306" s="306"/>
      <c r="AB306" s="306"/>
      <c r="AC306" s="306"/>
      <c r="AD306" s="306"/>
    </row>
    <row r="307" spans="1:30" x14ac:dyDescent="0.25">
      <c r="AA307" s="306"/>
      <c r="AB307" s="306"/>
      <c r="AC307" s="306"/>
      <c r="AD307" s="306"/>
    </row>
    <row r="308" spans="1:30" x14ac:dyDescent="0.25">
      <c r="A308" s="912" t="s">
        <v>726</v>
      </c>
      <c r="AA308" s="306"/>
      <c r="AB308" s="306"/>
      <c r="AC308" s="306"/>
      <c r="AD308" s="306"/>
    </row>
    <row r="309" spans="1:30" x14ac:dyDescent="0.25">
      <c r="A309" s="912" t="s">
        <v>473</v>
      </c>
      <c r="AA309" s="306"/>
      <c r="AB309" s="306"/>
      <c r="AC309" s="306"/>
      <c r="AD309" s="306"/>
    </row>
    <row r="310" spans="1:30" x14ac:dyDescent="0.25">
      <c r="A310" s="912" t="s">
        <v>609</v>
      </c>
      <c r="B310" s="914">
        <v>23.2563285827637</v>
      </c>
      <c r="C310" s="914">
        <v>24.973464965820298</v>
      </c>
      <c r="D310" s="914">
        <v>29.096658706665</v>
      </c>
      <c r="E310" s="914">
        <v>22.194786071777301</v>
      </c>
      <c r="F310" s="914">
        <v>21.477947235107401</v>
      </c>
      <c r="G310" s="914">
        <v>24.1509113311768</v>
      </c>
      <c r="H310" s="914">
        <v>26.557428359985401</v>
      </c>
      <c r="I310" s="914">
        <v>28.936630249023398</v>
      </c>
      <c r="J310" s="914">
        <v>31.2247924804688</v>
      </c>
      <c r="K310" s="914">
        <v>33.758499145507798</v>
      </c>
      <c r="L310" s="914">
        <v>35.743316650390597</v>
      </c>
      <c r="M310" s="914">
        <v>37.599853515625</v>
      </c>
      <c r="N310" s="914">
        <v>39.552177429199197</v>
      </c>
      <c r="O310" s="914">
        <v>40.9905815124512</v>
      </c>
      <c r="P310" s="914">
        <v>42.334590911865199</v>
      </c>
      <c r="Q310" s="914">
        <v>43.7123832702637</v>
      </c>
      <c r="R310" s="914">
        <v>44.985881805419901</v>
      </c>
      <c r="S310" s="914">
        <v>46.523696899414098</v>
      </c>
      <c r="T310" s="914">
        <v>47.765018463134801</v>
      </c>
      <c r="U310" s="914">
        <v>48.143123626708999</v>
      </c>
      <c r="V310" s="914">
        <v>49.548942565917997</v>
      </c>
      <c r="W310" s="914">
        <v>50.986961364746101</v>
      </c>
      <c r="X310" s="914">
        <v>52.580905914306598</v>
      </c>
      <c r="Y310" s="914">
        <v>53.965934753417997</v>
      </c>
      <c r="Z310" s="914">
        <v>55.648300170898402</v>
      </c>
      <c r="AA310" s="306"/>
      <c r="AB310" s="306"/>
      <c r="AC310" s="306"/>
      <c r="AD310" s="306"/>
    </row>
    <row r="311" spans="1:30" x14ac:dyDescent="0.25">
      <c r="A311" s="912" t="s">
        <v>610</v>
      </c>
      <c r="B311" s="914">
        <v>17.979913711547901</v>
      </c>
      <c r="C311" s="914">
        <v>19.664405822753899</v>
      </c>
      <c r="D311" s="914">
        <v>24.466548919677699</v>
      </c>
      <c r="E311" s="914">
        <v>16.188474655151399</v>
      </c>
      <c r="F311" s="914">
        <v>13.8549404144287</v>
      </c>
      <c r="G311" s="914">
        <v>16.4927158355713</v>
      </c>
      <c r="H311" s="914">
        <v>18.5955104827881</v>
      </c>
      <c r="I311" s="914">
        <v>20.348911285400401</v>
      </c>
      <c r="J311" s="914">
        <v>22.1809597015381</v>
      </c>
      <c r="K311" s="914">
        <v>24.3712253570557</v>
      </c>
      <c r="L311" s="914">
        <v>25.9372863769531</v>
      </c>
      <c r="M311" s="914">
        <v>27.5034885406494</v>
      </c>
      <c r="N311" s="914">
        <v>29.0146675109863</v>
      </c>
      <c r="O311" s="914">
        <v>30.168525695800799</v>
      </c>
      <c r="P311" s="914">
        <v>31.2883205413818</v>
      </c>
      <c r="Q311" s="914">
        <v>32.275276184082003</v>
      </c>
      <c r="R311" s="914">
        <v>33.246475219726598</v>
      </c>
      <c r="S311" s="914">
        <v>34.4459838867188</v>
      </c>
      <c r="T311" s="914">
        <v>35.640113830566399</v>
      </c>
      <c r="U311" s="914">
        <v>35.882171630859403</v>
      </c>
      <c r="V311" s="914">
        <v>37.065284729003899</v>
      </c>
      <c r="W311" s="914">
        <v>38.310382843017599</v>
      </c>
      <c r="X311" s="914">
        <v>39.641868591308601</v>
      </c>
      <c r="Y311" s="914">
        <v>40.905982971191399</v>
      </c>
      <c r="Z311" s="914">
        <v>42.365245819091797</v>
      </c>
      <c r="AA311" s="306"/>
      <c r="AB311" s="306"/>
      <c r="AC311" s="306"/>
      <c r="AD311" s="306"/>
    </row>
    <row r="312" spans="1:30" x14ac:dyDescent="0.25">
      <c r="A312" s="912" t="s">
        <v>510</v>
      </c>
      <c r="B312" s="914">
        <v>13.3406887054443</v>
      </c>
      <c r="C312" s="914">
        <v>12.691158294677701</v>
      </c>
      <c r="D312" s="914">
        <v>13.2631158828735</v>
      </c>
      <c r="E312" s="914">
        <v>11.061133384704601</v>
      </c>
      <c r="F312" s="914">
        <v>11.614992141723601</v>
      </c>
      <c r="G312" s="914">
        <v>12.061012268066399</v>
      </c>
      <c r="H312" s="914">
        <v>12.1186227798462</v>
      </c>
      <c r="I312" s="914">
        <v>12.236530303955099</v>
      </c>
      <c r="J312" s="914">
        <v>12.476335525512701</v>
      </c>
      <c r="K312" s="914">
        <v>12.8177757263184</v>
      </c>
      <c r="L312" s="914">
        <v>13.333586692810099</v>
      </c>
      <c r="M312" s="914">
        <v>13.900782585144</v>
      </c>
      <c r="N312" s="914">
        <v>14.492022514343301</v>
      </c>
      <c r="O312" s="914">
        <v>15.1641521453857</v>
      </c>
      <c r="P312" s="914">
        <v>15.945101737976101</v>
      </c>
      <c r="Q312" s="914">
        <v>16.661958694458001</v>
      </c>
      <c r="R312" s="914">
        <v>17.186347961425799</v>
      </c>
      <c r="S312" s="914">
        <v>17.308622360229499</v>
      </c>
      <c r="T312" s="914">
        <v>17.6488857269287</v>
      </c>
      <c r="U312" s="914">
        <v>17.9868679046631</v>
      </c>
      <c r="V312" s="914">
        <v>18.635103225708001</v>
      </c>
      <c r="W312" s="914">
        <v>19.4500408172607</v>
      </c>
      <c r="X312" s="914">
        <v>20.3657627105713</v>
      </c>
      <c r="Y312" s="914">
        <v>21.1996364593506</v>
      </c>
      <c r="Z312" s="914">
        <v>22.095756530761701</v>
      </c>
      <c r="AA312" s="306"/>
      <c r="AB312" s="306"/>
      <c r="AC312" s="306"/>
      <c r="AD312" s="306"/>
    </row>
    <row r="313" spans="1:30" x14ac:dyDescent="0.25">
      <c r="A313" s="912" t="s">
        <v>479</v>
      </c>
      <c r="B313" s="914">
        <v>30.388185501098601</v>
      </c>
      <c r="C313" s="914">
        <v>31.181957244873001</v>
      </c>
      <c r="D313" s="914">
        <v>32.471218109130902</v>
      </c>
      <c r="E313" s="914">
        <v>31.722009658813501</v>
      </c>
      <c r="F313" s="914">
        <v>29.6958332061768</v>
      </c>
      <c r="G313" s="914">
        <v>31.365653991699201</v>
      </c>
      <c r="H313" s="914">
        <v>32.001548767089801</v>
      </c>
      <c r="I313" s="914">
        <v>32.924289703369098</v>
      </c>
      <c r="J313" s="914">
        <v>34.030689239502003</v>
      </c>
      <c r="K313" s="914">
        <v>34.890899658203097</v>
      </c>
      <c r="L313" s="914">
        <v>35.995761871337898</v>
      </c>
      <c r="M313" s="914">
        <v>37.227577209472699</v>
      </c>
      <c r="N313" s="914">
        <v>38.5026245117188</v>
      </c>
      <c r="O313" s="914">
        <v>39.672031402587898</v>
      </c>
      <c r="P313" s="914">
        <v>41.180412292480497</v>
      </c>
      <c r="Q313" s="914">
        <v>42.698352813720703</v>
      </c>
      <c r="R313" s="914">
        <v>44.053905487060497</v>
      </c>
      <c r="S313" s="914">
        <v>45.011627197265597</v>
      </c>
      <c r="T313" s="914">
        <v>46.023651123046903</v>
      </c>
      <c r="U313" s="914">
        <v>46.971866607666001</v>
      </c>
      <c r="V313" s="914">
        <v>48.032154083252003</v>
      </c>
      <c r="W313" s="914">
        <v>49.565544128417997</v>
      </c>
      <c r="X313" s="914">
        <v>51.240451812744098</v>
      </c>
      <c r="Y313" s="914">
        <v>52.949665069580099</v>
      </c>
      <c r="Z313" s="914">
        <v>54.583251953125</v>
      </c>
      <c r="AA313" s="306"/>
      <c r="AB313" s="306"/>
      <c r="AC313" s="306"/>
      <c r="AD313" s="306"/>
    </row>
    <row r="314" spans="1:30" x14ac:dyDescent="0.25">
      <c r="AA314" s="306"/>
      <c r="AB314" s="306"/>
      <c r="AC314" s="306"/>
      <c r="AD314" s="306"/>
    </row>
    <row r="315" spans="1:30" x14ac:dyDescent="0.25">
      <c r="A315" s="912" t="s">
        <v>480</v>
      </c>
      <c r="AA315" s="306"/>
      <c r="AB315" s="306"/>
      <c r="AC315" s="306"/>
      <c r="AD315" s="306"/>
    </row>
    <row r="316" spans="1:30" x14ac:dyDescent="0.25">
      <c r="A316" s="912" t="s">
        <v>609</v>
      </c>
      <c r="B316" s="914">
        <v>20.6414604187012</v>
      </c>
      <c r="C316" s="914">
        <v>23.041419982910199</v>
      </c>
      <c r="D316" s="914">
        <v>24.0578727722168</v>
      </c>
      <c r="E316" s="914">
        <v>21.6475944519043</v>
      </c>
      <c r="F316" s="914">
        <v>18.202018737793001</v>
      </c>
      <c r="G316" s="914">
        <v>20.8180141448975</v>
      </c>
      <c r="H316" s="914">
        <v>23.171899795532202</v>
      </c>
      <c r="I316" s="914">
        <v>25.4778232574463</v>
      </c>
      <c r="J316" s="914">
        <v>27.6801948547363</v>
      </c>
      <c r="K316" s="914">
        <v>30.122516632080099</v>
      </c>
      <c r="L316" s="914">
        <v>32.012001037597699</v>
      </c>
      <c r="M316" s="914">
        <v>33.770454406738303</v>
      </c>
      <c r="N316" s="914">
        <v>35.6212158203125</v>
      </c>
      <c r="O316" s="914">
        <v>36.9546508789063</v>
      </c>
      <c r="P316" s="914">
        <v>38.187240600585902</v>
      </c>
      <c r="Q316" s="914">
        <v>39.449775695800803</v>
      </c>
      <c r="R316" s="914">
        <v>40.605808258056598</v>
      </c>
      <c r="S316" s="914">
        <v>42.0293998718262</v>
      </c>
      <c r="T316" s="914">
        <v>43.160079956054702</v>
      </c>
      <c r="U316" s="914">
        <v>43.432140350341797</v>
      </c>
      <c r="V316" s="914">
        <v>44.7312202453613</v>
      </c>
      <c r="W316" s="914">
        <v>46.061283111572301</v>
      </c>
      <c r="X316" s="914">
        <v>47.542713165283203</v>
      </c>
      <c r="Y316" s="914">
        <v>48.814918518066399</v>
      </c>
      <c r="Z316" s="914">
        <v>50.382663726806598</v>
      </c>
      <c r="AA316" s="306"/>
      <c r="AB316" s="306"/>
      <c r="AC316" s="306"/>
      <c r="AD316" s="306"/>
    </row>
    <row r="317" spans="1:30" x14ac:dyDescent="0.25">
      <c r="A317" s="912" t="s">
        <v>610</v>
      </c>
      <c r="B317" s="914">
        <v>14.625953674316399</v>
      </c>
      <c r="C317" s="914">
        <v>16.054100036621101</v>
      </c>
      <c r="D317" s="914">
        <v>21.4175109863281</v>
      </c>
      <c r="E317" s="914">
        <v>14.1806936264038</v>
      </c>
      <c r="F317" s="914">
        <v>11.1656141281128</v>
      </c>
      <c r="G317" s="914">
        <v>13.940697669982899</v>
      </c>
      <c r="H317" s="914">
        <v>16.055301666259801</v>
      </c>
      <c r="I317" s="914">
        <v>18.2004089355469</v>
      </c>
      <c r="J317" s="914">
        <v>20.072311401367202</v>
      </c>
      <c r="K317" s="914">
        <v>21.922914505004901</v>
      </c>
      <c r="L317" s="914">
        <v>23.436100006103501</v>
      </c>
      <c r="M317" s="914">
        <v>24.993484497070298</v>
      </c>
      <c r="N317" s="914">
        <v>26.4673175811768</v>
      </c>
      <c r="O317" s="914">
        <v>27.614213943481399</v>
      </c>
      <c r="P317" s="914">
        <v>28.7058811187744</v>
      </c>
      <c r="Q317" s="914">
        <v>29.4854850769043</v>
      </c>
      <c r="R317" s="914">
        <v>30.5256862640381</v>
      </c>
      <c r="S317" s="914">
        <v>31.597146987915</v>
      </c>
      <c r="T317" s="914">
        <v>32.548923492431598</v>
      </c>
      <c r="U317" s="914">
        <v>32.997859954833999</v>
      </c>
      <c r="V317" s="914">
        <v>34.165657043457003</v>
      </c>
      <c r="W317" s="914">
        <v>35.000114440917997</v>
      </c>
      <c r="X317" s="914">
        <v>36.3691596984863</v>
      </c>
      <c r="Y317" s="914">
        <v>37.943679809570298</v>
      </c>
      <c r="Z317" s="914">
        <v>39.006439208984403</v>
      </c>
      <c r="AA317" s="306"/>
      <c r="AB317" s="306"/>
      <c r="AC317" s="306"/>
      <c r="AD317" s="306"/>
    </row>
    <row r="318" spans="1:30" x14ac:dyDescent="0.25">
      <c r="A318" s="912" t="s">
        <v>723</v>
      </c>
      <c r="B318" s="914">
        <v>8.64862155914307</v>
      </c>
      <c r="C318" s="914">
        <v>10.3074436187744</v>
      </c>
      <c r="D318" s="914">
        <v>13.7067270278931</v>
      </c>
      <c r="E318" s="914">
        <v>6.9139137268066397</v>
      </c>
      <c r="F318" s="914">
        <v>6.0204734802246103</v>
      </c>
      <c r="G318" s="914">
        <v>9.0269355773925799</v>
      </c>
      <c r="H318" s="914">
        <v>10.767860412597701</v>
      </c>
      <c r="I318" s="914">
        <v>12.611166954040501</v>
      </c>
      <c r="J318" s="914">
        <v>14.3083610534668</v>
      </c>
      <c r="K318" s="914">
        <v>16.269037246704102</v>
      </c>
      <c r="L318" s="914">
        <v>17.569841384887699</v>
      </c>
      <c r="M318" s="914">
        <v>18.511304855346701</v>
      </c>
      <c r="N318" s="914">
        <v>19.7891235351563</v>
      </c>
      <c r="O318" s="914">
        <v>20.573390960693398</v>
      </c>
      <c r="P318" s="914">
        <v>21.404872894287099</v>
      </c>
      <c r="Q318" s="914">
        <v>22.193275451660199</v>
      </c>
      <c r="R318" s="914">
        <v>22.9593410491943</v>
      </c>
      <c r="S318" s="914">
        <v>23.7928276062012</v>
      </c>
      <c r="T318" s="914">
        <v>24.398706436157202</v>
      </c>
      <c r="U318" s="914">
        <v>24.292516708373999</v>
      </c>
      <c r="V318" s="914">
        <v>25.0136394500732</v>
      </c>
      <c r="W318" s="914">
        <v>25.751762390136701</v>
      </c>
      <c r="X318" s="914">
        <v>26.606601715087901</v>
      </c>
      <c r="Y318" s="914">
        <v>27.4516487121582</v>
      </c>
      <c r="Z318" s="914">
        <v>28.286119461059599</v>
      </c>
      <c r="AA318" s="306"/>
      <c r="AB318" s="306"/>
      <c r="AC318" s="306"/>
      <c r="AD318" s="306"/>
    </row>
    <row r="319" spans="1:30" x14ac:dyDescent="0.25">
      <c r="A319" s="912" t="s">
        <v>510</v>
      </c>
      <c r="B319" s="914">
        <v>11.5840444564819</v>
      </c>
      <c r="C319" s="914">
        <v>10.9898433685303</v>
      </c>
      <c r="D319" s="914">
        <v>11.588038444519</v>
      </c>
      <c r="E319" s="914">
        <v>9.1930990219116193</v>
      </c>
      <c r="F319" s="914">
        <v>9.8226709365844709</v>
      </c>
      <c r="G319" s="914">
        <v>10.233100891113301</v>
      </c>
      <c r="H319" s="914">
        <v>10.334647178649901</v>
      </c>
      <c r="I319" s="914">
        <v>10.4663095474243</v>
      </c>
      <c r="J319" s="914">
        <v>10.734943389892599</v>
      </c>
      <c r="K319" s="914">
        <v>11.106437683105501</v>
      </c>
      <c r="L319" s="914">
        <v>11.600093841552701</v>
      </c>
      <c r="M319" s="914">
        <v>12.1229543685913</v>
      </c>
      <c r="N319" s="914">
        <v>12.6781578063965</v>
      </c>
      <c r="O319" s="914">
        <v>13.3144483566284</v>
      </c>
      <c r="P319" s="914">
        <v>14.069993019104</v>
      </c>
      <c r="Q319" s="914">
        <v>14.7329454421997</v>
      </c>
      <c r="R319" s="914">
        <v>15.223674774169901</v>
      </c>
      <c r="S319" s="914">
        <v>15.329276084899901</v>
      </c>
      <c r="T319" s="914">
        <v>15.6546773910522</v>
      </c>
      <c r="U319" s="914">
        <v>15.9318437576294</v>
      </c>
      <c r="V319" s="914">
        <v>16.5416469573975</v>
      </c>
      <c r="W319" s="914">
        <v>17.316057205200199</v>
      </c>
      <c r="X319" s="914">
        <v>18.194717407226602</v>
      </c>
      <c r="Y319" s="914">
        <v>18.967941284179702</v>
      </c>
      <c r="Z319" s="914">
        <v>19.811794281005898</v>
      </c>
      <c r="AA319" s="306"/>
      <c r="AB319" s="306"/>
      <c r="AC319" s="306"/>
      <c r="AD319" s="306"/>
    </row>
    <row r="320" spans="1:30" x14ac:dyDescent="0.25">
      <c r="A320" s="912" t="s">
        <v>479</v>
      </c>
      <c r="B320" s="914">
        <v>27.631908416748001</v>
      </c>
      <c r="C320" s="914">
        <v>28.029735565185501</v>
      </c>
      <c r="D320" s="914">
        <v>29.6960258483887</v>
      </c>
      <c r="E320" s="914">
        <v>28.491619110107401</v>
      </c>
      <c r="F320" s="914">
        <v>25.7724418640137</v>
      </c>
      <c r="G320" s="914">
        <v>26.858903884887699</v>
      </c>
      <c r="H320" s="914">
        <v>27.045906066894499</v>
      </c>
      <c r="I320" s="914">
        <v>27.5620422363281</v>
      </c>
      <c r="J320" s="914">
        <v>28.370775222778299</v>
      </c>
      <c r="K320" s="914">
        <v>29.106733322143601</v>
      </c>
      <c r="L320" s="914">
        <v>30.1617736816406</v>
      </c>
      <c r="M320" s="914">
        <v>31.290737152099599</v>
      </c>
      <c r="N320" s="914">
        <v>32.536418914794901</v>
      </c>
      <c r="O320" s="914">
        <v>33.661582946777301</v>
      </c>
      <c r="P320" s="914">
        <v>35.072307586669901</v>
      </c>
      <c r="Q320" s="914">
        <v>36.4632377624512</v>
      </c>
      <c r="R320" s="914">
        <v>37.713531494140597</v>
      </c>
      <c r="S320" s="914">
        <v>38.535266876220703</v>
      </c>
      <c r="T320" s="914">
        <v>39.429233551025398</v>
      </c>
      <c r="U320" s="914">
        <v>40.172752380371101</v>
      </c>
      <c r="V320" s="914">
        <v>41.0662841796875</v>
      </c>
      <c r="W320" s="914">
        <v>42.386928558349602</v>
      </c>
      <c r="X320" s="914">
        <v>43.920989990234403</v>
      </c>
      <c r="Y320" s="914">
        <v>45.4139213562012</v>
      </c>
      <c r="Z320" s="914">
        <v>46.925571441650398</v>
      </c>
      <c r="AA320" s="306"/>
      <c r="AB320" s="306"/>
      <c r="AC320" s="306"/>
      <c r="AD320" s="306"/>
    </row>
    <row r="321" spans="1:30" x14ac:dyDescent="0.25">
      <c r="AA321" s="306"/>
      <c r="AB321" s="306"/>
      <c r="AC321" s="306"/>
      <c r="AD321" s="306"/>
    </row>
    <row r="322" spans="1:30" x14ac:dyDescent="0.25">
      <c r="A322" s="912" t="s">
        <v>612</v>
      </c>
      <c r="AA322" s="306"/>
      <c r="AB322" s="306"/>
      <c r="AC322" s="306"/>
      <c r="AD322" s="306"/>
    </row>
    <row r="323" spans="1:30" x14ac:dyDescent="0.25">
      <c r="A323" s="912" t="s">
        <v>609</v>
      </c>
      <c r="B323" s="914">
        <v>20.489143371581999</v>
      </c>
      <c r="C323" s="914">
        <v>23.3795166015625</v>
      </c>
      <c r="D323" s="914">
        <v>27.232301712036101</v>
      </c>
      <c r="E323" s="914">
        <v>22.957033157348601</v>
      </c>
      <c r="F323" s="914">
        <v>17.265552520751999</v>
      </c>
      <c r="G323" s="914">
        <v>19.8652458190918</v>
      </c>
      <c r="H323" s="914">
        <v>22.207704544067401</v>
      </c>
      <c r="I323" s="914">
        <v>24.495702743530298</v>
      </c>
      <c r="J323" s="914">
        <v>26.6714878082275</v>
      </c>
      <c r="K323" s="914">
        <v>29.0830192565918</v>
      </c>
      <c r="L323" s="914">
        <v>30.951156616210898</v>
      </c>
      <c r="M323" s="914">
        <v>32.690711975097699</v>
      </c>
      <c r="N323" s="914">
        <v>34.514808654785199</v>
      </c>
      <c r="O323" s="914">
        <v>35.846107482910199</v>
      </c>
      <c r="P323" s="914">
        <v>37.040077209472699</v>
      </c>
      <c r="Q323" s="914">
        <v>38.301750183105497</v>
      </c>
      <c r="R323" s="914">
        <v>39.421558380127003</v>
      </c>
      <c r="S323" s="914">
        <v>40.814861297607401</v>
      </c>
      <c r="T323" s="914">
        <v>41.884078979492202</v>
      </c>
      <c r="U323" s="914">
        <v>42.155609130859403</v>
      </c>
      <c r="V323" s="914">
        <v>43.402267456054702</v>
      </c>
      <c r="W323" s="914">
        <v>44.705905914306598</v>
      </c>
      <c r="X323" s="914">
        <v>46.153343200683601</v>
      </c>
      <c r="Y323" s="914">
        <v>47.236614227294901</v>
      </c>
      <c r="Z323" s="914">
        <v>48.820529937744098</v>
      </c>
      <c r="AA323" s="306"/>
      <c r="AB323" s="306"/>
      <c r="AC323" s="306"/>
      <c r="AD323" s="306"/>
    </row>
    <row r="324" spans="1:30" x14ac:dyDescent="0.25">
      <c r="A324" s="912" t="s">
        <v>610</v>
      </c>
      <c r="B324" s="914">
        <v>15.3226671218872</v>
      </c>
      <c r="C324" s="914">
        <v>16.8219394683838</v>
      </c>
      <c r="D324" s="914">
        <v>22.4200763702393</v>
      </c>
      <c r="E324" s="914">
        <v>14.749831199646</v>
      </c>
      <c r="F324" s="914">
        <v>11.025536537170399</v>
      </c>
      <c r="G324" s="914">
        <v>14.0721025466919</v>
      </c>
      <c r="H324" s="914">
        <v>16.2283020019531</v>
      </c>
      <c r="I324" s="914">
        <v>18.6841716766357</v>
      </c>
      <c r="J324" s="914">
        <v>20.619239807128899</v>
      </c>
      <c r="K324" s="914">
        <v>22.302150726318398</v>
      </c>
      <c r="L324" s="914">
        <v>23.831027984619102</v>
      </c>
      <c r="M324" s="914">
        <v>25.434989929199201</v>
      </c>
      <c r="N324" s="914">
        <v>26.940843582153299</v>
      </c>
      <c r="O324" s="914">
        <v>28.1489963531494</v>
      </c>
      <c r="P324" s="914">
        <v>29.2844352722168</v>
      </c>
      <c r="Q324" s="914">
        <v>29.987220764160199</v>
      </c>
      <c r="R324" s="914">
        <v>31.1475830078125</v>
      </c>
      <c r="S324" s="914">
        <v>32.191192626953097</v>
      </c>
      <c r="T324" s="914">
        <v>33.043167114257798</v>
      </c>
      <c r="U324" s="914">
        <v>33.6753120422363</v>
      </c>
      <c r="V324" s="914">
        <v>34.892765045166001</v>
      </c>
      <c r="W324" s="914">
        <v>35.508182525634801</v>
      </c>
      <c r="X324" s="914">
        <v>36.966400146484403</v>
      </c>
      <c r="Y324" s="914">
        <v>38.821296691894503</v>
      </c>
      <c r="Z324" s="914">
        <v>39.679729461669901</v>
      </c>
      <c r="AA324" s="306"/>
      <c r="AB324" s="306"/>
      <c r="AC324" s="306"/>
      <c r="AD324" s="306"/>
    </row>
    <row r="325" spans="1:30" x14ac:dyDescent="0.25">
      <c r="A325" s="912" t="s">
        <v>611</v>
      </c>
      <c r="B325" s="914">
        <v>8.9709205627441406</v>
      </c>
      <c r="C325" s="914">
        <v>10.5954837799072</v>
      </c>
      <c r="D325" s="914">
        <v>14.049506187439</v>
      </c>
      <c r="E325" s="914">
        <v>7.1343002319335902</v>
      </c>
      <c r="F325" s="914">
        <v>10.215766906738301</v>
      </c>
      <c r="G325" s="914">
        <v>12.8617763519287</v>
      </c>
      <c r="H325" s="914">
        <v>14.814771652221699</v>
      </c>
      <c r="I325" s="914">
        <v>16.696189880371101</v>
      </c>
      <c r="J325" s="914">
        <v>18.396284103393601</v>
      </c>
      <c r="K325" s="914">
        <v>20.378862380981399</v>
      </c>
      <c r="L325" s="914">
        <v>21.7460041046143</v>
      </c>
      <c r="M325" s="914">
        <v>22.969861984252901</v>
      </c>
      <c r="N325" s="914">
        <v>24.3396511077881</v>
      </c>
      <c r="O325" s="914">
        <v>25.3345756530762</v>
      </c>
      <c r="P325" s="914">
        <v>26.3205471038818</v>
      </c>
      <c r="Q325" s="914">
        <v>27.310920715331999</v>
      </c>
      <c r="R325" s="914">
        <v>28.174968719482401</v>
      </c>
      <c r="S325" s="914">
        <v>29.129919052123999</v>
      </c>
      <c r="T325" s="914">
        <v>29.910713195800799</v>
      </c>
      <c r="U325" s="914">
        <v>30.004579544067401</v>
      </c>
      <c r="V325" s="914">
        <v>30.867444992065401</v>
      </c>
      <c r="W325" s="914">
        <v>31.741449356079102</v>
      </c>
      <c r="X325" s="914">
        <v>32.901214599609403</v>
      </c>
      <c r="Y325" s="914">
        <v>33.791465759277301</v>
      </c>
      <c r="Z325" s="914">
        <v>34.9404487609863</v>
      </c>
      <c r="AA325" s="306"/>
      <c r="AB325" s="306"/>
      <c r="AC325" s="306"/>
      <c r="AD325" s="306"/>
    </row>
    <row r="326" spans="1:30" x14ac:dyDescent="0.25">
      <c r="A326" s="912" t="s">
        <v>613</v>
      </c>
      <c r="B326" s="914">
        <v>7.7454247474670401</v>
      </c>
      <c r="C326" s="914">
        <v>7.5152516365051296</v>
      </c>
      <c r="D326" s="914">
        <v>8.9947338104247994</v>
      </c>
      <c r="E326" s="914">
        <v>5.0039734840393102</v>
      </c>
      <c r="F326" s="914">
        <v>5.7063522338867196</v>
      </c>
      <c r="G326" s="914">
        <v>6.1171517372131303</v>
      </c>
      <c r="H326" s="914">
        <v>6.2487673759460396</v>
      </c>
      <c r="I326" s="914">
        <v>6.4428400993347203</v>
      </c>
      <c r="J326" s="914">
        <v>6.7520828247070304</v>
      </c>
      <c r="K326" s="914">
        <v>7.1508984565734899</v>
      </c>
      <c r="L326" s="914">
        <v>7.5258989334106401</v>
      </c>
      <c r="M326" s="914">
        <v>7.9240221977233896</v>
      </c>
      <c r="N326" s="914">
        <v>8.3488731384277308</v>
      </c>
      <c r="O326" s="914">
        <v>8.8619937896728498</v>
      </c>
      <c r="P326" s="914">
        <v>9.4837093353271502</v>
      </c>
      <c r="Q326" s="914">
        <v>9.9987487792968803</v>
      </c>
      <c r="R326" s="914">
        <v>10.352954864501999</v>
      </c>
      <c r="S326" s="914">
        <v>10.3336448669434</v>
      </c>
      <c r="T326" s="914">
        <v>10.549848556518601</v>
      </c>
      <c r="U326" s="914">
        <v>10.6489877700806</v>
      </c>
      <c r="V326" s="914">
        <v>11.076291084289601</v>
      </c>
      <c r="W326" s="914">
        <v>11.6912574768066</v>
      </c>
      <c r="X326" s="914">
        <v>12.4464559555054</v>
      </c>
      <c r="Y326" s="914">
        <v>13.0579080581665</v>
      </c>
      <c r="Z326" s="914">
        <v>13.758059501647899</v>
      </c>
      <c r="AA326" s="306"/>
      <c r="AB326" s="306"/>
      <c r="AC326" s="306"/>
      <c r="AD326" s="306"/>
    </row>
    <row r="327" spans="1:30" x14ac:dyDescent="0.25">
      <c r="A327" s="912" t="s">
        <v>614</v>
      </c>
      <c r="B327" s="914">
        <v>3.53999996185303</v>
      </c>
      <c r="C327" s="914">
        <v>3.6099998950958301</v>
      </c>
      <c r="D327" s="914">
        <v>4.1449666023254403</v>
      </c>
      <c r="E327" s="914">
        <v>4.1784791946411097</v>
      </c>
      <c r="F327" s="914">
        <v>4.1485314369201696</v>
      </c>
      <c r="G327" s="914">
        <v>4.3175525665283203</v>
      </c>
      <c r="H327" s="914">
        <v>4.44484186172485</v>
      </c>
      <c r="I327" s="914">
        <v>4.5821456909179696</v>
      </c>
      <c r="J327" s="914">
        <v>4.7206311225891104</v>
      </c>
      <c r="K327" s="914">
        <v>4.8563599586486799</v>
      </c>
      <c r="L327" s="914">
        <v>4.9913563728332502</v>
      </c>
      <c r="M327" s="914">
        <v>5.1233406066894496</v>
      </c>
      <c r="N327" s="914">
        <v>5.2680139541626003</v>
      </c>
      <c r="O327" s="914">
        <v>5.4137320518493697</v>
      </c>
      <c r="P327" s="914">
        <v>5.5743689537048304</v>
      </c>
      <c r="Q327" s="914">
        <v>5.7906579971313503</v>
      </c>
      <c r="R327" s="914">
        <v>6.0209679603576696</v>
      </c>
      <c r="S327" s="914">
        <v>6.20045709609985</v>
      </c>
      <c r="T327" s="914">
        <v>6.3775997161865199</v>
      </c>
      <c r="U327" s="914">
        <v>6.5161404609680202</v>
      </c>
      <c r="V327" s="914">
        <v>6.6299972534179696</v>
      </c>
      <c r="W327" s="914">
        <v>6.7667918205261204</v>
      </c>
      <c r="X327" s="914">
        <v>6.88553714752197</v>
      </c>
      <c r="Y327" s="914">
        <v>6.9704546928405797</v>
      </c>
      <c r="Z327" s="914">
        <v>7.0137753486633301</v>
      </c>
    </row>
    <row r="328" spans="1:30" x14ac:dyDescent="0.25">
      <c r="A328" s="912" t="s">
        <v>615</v>
      </c>
      <c r="B328" s="914">
        <v>2.3399634361267099</v>
      </c>
      <c r="C328" s="914">
        <v>2.4299483299255402</v>
      </c>
      <c r="D328" s="914">
        <v>2.5979068279266402</v>
      </c>
      <c r="E328" s="914">
        <v>2.52754878997803</v>
      </c>
      <c r="F328" s="914">
        <v>2.4808654785156299</v>
      </c>
      <c r="G328" s="914">
        <v>2.6002757549285902</v>
      </c>
      <c r="H328" s="914">
        <v>2.6509947776794398</v>
      </c>
      <c r="I328" s="914">
        <v>2.73208808898926</v>
      </c>
      <c r="J328" s="914">
        <v>2.8122007846832302</v>
      </c>
      <c r="K328" s="914">
        <v>2.8687095642089799</v>
      </c>
      <c r="L328" s="914">
        <v>2.94158983230591</v>
      </c>
      <c r="M328" s="914">
        <v>3.0178208351135298</v>
      </c>
      <c r="N328" s="914">
        <v>3.1028199195861799</v>
      </c>
      <c r="O328" s="914">
        <v>3.17316722869873</v>
      </c>
      <c r="P328" s="914">
        <v>3.2616541385650599</v>
      </c>
      <c r="Q328" s="914">
        <v>3.3479356765747101</v>
      </c>
      <c r="R328" s="914">
        <v>3.4371068477630602</v>
      </c>
      <c r="S328" s="914">
        <v>3.5193088054657</v>
      </c>
      <c r="T328" s="914">
        <v>3.6053638458252002</v>
      </c>
      <c r="U328" s="914">
        <v>3.6816923618316699</v>
      </c>
      <c r="V328" s="914">
        <v>3.7800858020782502</v>
      </c>
      <c r="W328" s="914">
        <v>3.88063645362854</v>
      </c>
      <c r="X328" s="914">
        <v>3.98858737945557</v>
      </c>
      <c r="Y328" s="914">
        <v>4.1003923416137704</v>
      </c>
      <c r="Z328" s="914">
        <v>4.2166938781738299</v>
      </c>
    </row>
    <row r="329" spans="1:30" x14ac:dyDescent="0.25">
      <c r="A329" s="912" t="s">
        <v>616</v>
      </c>
      <c r="B329" s="914">
        <v>0</v>
      </c>
      <c r="C329" s="914">
        <v>0</v>
      </c>
      <c r="D329" s="914">
        <v>0</v>
      </c>
      <c r="E329" s="914">
        <v>0</v>
      </c>
      <c r="F329" s="914">
        <v>0</v>
      </c>
      <c r="G329" s="914">
        <v>1.5889266729354901</v>
      </c>
      <c r="H329" s="914">
        <v>1.46094393730164</v>
      </c>
      <c r="I329" s="914">
        <v>1.28843116760254</v>
      </c>
      <c r="J329" s="914">
        <v>1.5101318359375</v>
      </c>
      <c r="K329" s="914">
        <v>1.50810551643372</v>
      </c>
      <c r="L329" s="914">
        <v>1.5213859081268299</v>
      </c>
      <c r="M329" s="914">
        <v>1.53951179981232</v>
      </c>
      <c r="N329" s="914">
        <v>1.58338570594788</v>
      </c>
      <c r="O329" s="914">
        <v>1.63723039627075</v>
      </c>
      <c r="P329" s="914">
        <v>1.71289122104645</v>
      </c>
      <c r="Q329" s="914">
        <v>1.76114201545715</v>
      </c>
      <c r="R329" s="914">
        <v>1.8119050264358501</v>
      </c>
      <c r="S329" s="914">
        <v>1.8629466295242301</v>
      </c>
      <c r="T329" s="914">
        <v>1.9169825315475499</v>
      </c>
      <c r="U329" s="914">
        <v>1.9466364383697501</v>
      </c>
      <c r="V329" s="914">
        <v>1.9911848306655899</v>
      </c>
      <c r="W329" s="914">
        <v>2.0416746139526398</v>
      </c>
      <c r="X329" s="914">
        <v>2.09020328521729</v>
      </c>
      <c r="Y329" s="914">
        <v>2.1373581886291499</v>
      </c>
      <c r="Z329" s="914">
        <v>2.1847438812255899</v>
      </c>
    </row>
    <row r="330" spans="1:30" x14ac:dyDescent="0.25">
      <c r="A330" s="912" t="s">
        <v>479</v>
      </c>
      <c r="B330" s="914">
        <v>17.918214797973601</v>
      </c>
      <c r="C330" s="914">
        <v>18.6226921081543</v>
      </c>
      <c r="D330" s="914">
        <v>20.7813816070557</v>
      </c>
      <c r="E330" s="914">
        <v>19.773582458496101</v>
      </c>
      <c r="F330" s="914">
        <v>17.462970733642599</v>
      </c>
      <c r="G330" s="914">
        <v>18.126573562622099</v>
      </c>
      <c r="H330" s="914">
        <v>18.238889694213899</v>
      </c>
      <c r="I330" s="914">
        <v>18.4867153167725</v>
      </c>
      <c r="J330" s="914">
        <v>19.006654739379901</v>
      </c>
      <c r="K330" s="914">
        <v>19.565620422363299</v>
      </c>
      <c r="L330" s="914">
        <v>20.355871200561499</v>
      </c>
      <c r="M330" s="914">
        <v>21.173530578613299</v>
      </c>
      <c r="N330" s="914">
        <v>22.037576675415</v>
      </c>
      <c r="O330" s="914">
        <v>22.867145538330099</v>
      </c>
      <c r="P330" s="914">
        <v>23.876249313354499</v>
      </c>
      <c r="Q330" s="914">
        <v>24.851699829101602</v>
      </c>
      <c r="R330" s="914">
        <v>25.777753829956101</v>
      </c>
      <c r="S330" s="914">
        <v>26.392097473144499</v>
      </c>
      <c r="T330" s="914">
        <v>27.017583847045898</v>
      </c>
      <c r="U330" s="914">
        <v>27.588447570800799</v>
      </c>
      <c r="V330" s="914">
        <v>28.206142425537099</v>
      </c>
      <c r="W330" s="914">
        <v>29.1773777008057</v>
      </c>
      <c r="X330" s="914">
        <v>30.336851119995099</v>
      </c>
      <c r="Y330" s="914">
        <v>31.4674072265625</v>
      </c>
      <c r="Z330" s="914">
        <v>32.538986206054702</v>
      </c>
    </row>
    <row r="332" spans="1:30" x14ac:dyDescent="0.25">
      <c r="A332" s="912" t="s">
        <v>487</v>
      </c>
    </row>
    <row r="333" spans="1:30" x14ac:dyDescent="0.25">
      <c r="A333" s="912" t="s">
        <v>617</v>
      </c>
      <c r="B333" s="914">
        <v>21.711509704589801</v>
      </c>
      <c r="C333" s="914">
        <v>25.0072345733643</v>
      </c>
      <c r="D333" s="914">
        <v>29.391622543335</v>
      </c>
      <c r="E333" s="914">
        <v>22.380046844482401</v>
      </c>
      <c r="F333" s="914">
        <v>21.3089294433594</v>
      </c>
      <c r="G333" s="914">
        <v>23.935417175293001</v>
      </c>
      <c r="H333" s="914">
        <v>26.369024276733398</v>
      </c>
      <c r="I333" s="914">
        <v>28.752412796020501</v>
      </c>
      <c r="J333" s="914">
        <v>31.0282287597656</v>
      </c>
      <c r="K333" s="914">
        <v>33.547065734863303</v>
      </c>
      <c r="L333" s="914">
        <v>35.514869689941399</v>
      </c>
      <c r="M333" s="914">
        <v>37.352748870849602</v>
      </c>
      <c r="N333" s="914">
        <v>39.287044525146499</v>
      </c>
      <c r="O333" s="914">
        <v>40.7039604187012</v>
      </c>
      <c r="P333" s="914">
        <v>42.024444580078097</v>
      </c>
      <c r="Q333" s="914">
        <v>43.379894256591797</v>
      </c>
      <c r="R333" s="914">
        <v>44.630382537841797</v>
      </c>
      <c r="S333" s="914">
        <v>46.145259857177699</v>
      </c>
      <c r="T333" s="914">
        <v>47.363857269287102</v>
      </c>
      <c r="U333" s="914">
        <v>47.7197074890137</v>
      </c>
      <c r="V333" s="914">
        <v>49.102500915527301</v>
      </c>
      <c r="W333" s="914">
        <v>50.517303466796903</v>
      </c>
      <c r="X333" s="914">
        <v>52.086456298828097</v>
      </c>
      <c r="Y333" s="914">
        <v>53.442653656005902</v>
      </c>
      <c r="Z333" s="914">
        <v>55.104091644287102</v>
      </c>
    </row>
    <row r="334" spans="1:30" x14ac:dyDescent="0.25">
      <c r="A334" s="912" t="s">
        <v>618</v>
      </c>
      <c r="B334" s="914">
        <v>24.84494972229</v>
      </c>
      <c r="C334" s="914">
        <v>26.818180084228501</v>
      </c>
      <c r="D334" s="914">
        <v>34.822681427002003</v>
      </c>
      <c r="E334" s="914">
        <v>21.049989700317401</v>
      </c>
      <c r="F334" s="914">
        <v>19.580844879150401</v>
      </c>
      <c r="G334" s="914">
        <v>23.622909545898398</v>
      </c>
      <c r="H334" s="914">
        <v>25.881950378418001</v>
      </c>
      <c r="I334" s="914">
        <v>28.009447097778299</v>
      </c>
      <c r="J334" s="914">
        <v>30.2537937164307</v>
      </c>
      <c r="K334" s="914">
        <v>28.866632461547901</v>
      </c>
      <c r="L334" s="914">
        <v>30.4276523590088</v>
      </c>
      <c r="M334" s="914">
        <v>31.969417572021499</v>
      </c>
      <c r="N334" s="914">
        <v>32.765193939208999</v>
      </c>
      <c r="O334" s="914">
        <v>35.757926940917997</v>
      </c>
      <c r="P334" s="914">
        <v>37.577915191650398</v>
      </c>
      <c r="Q334" s="914">
        <v>38.662086486816399</v>
      </c>
      <c r="R334" s="914">
        <v>39.8419189453125</v>
      </c>
      <c r="S334" s="914">
        <v>41.092353820800803</v>
      </c>
      <c r="T334" s="914">
        <v>42.114028930664098</v>
      </c>
      <c r="U334" s="914">
        <v>42.893341064453097</v>
      </c>
      <c r="V334" s="914">
        <v>44.2104301452637</v>
      </c>
      <c r="W334" s="914">
        <v>44.896373748779297</v>
      </c>
      <c r="X334" s="914">
        <v>46.4299926757813</v>
      </c>
      <c r="Y334" s="914">
        <v>48.419319152832003</v>
      </c>
      <c r="Z334" s="914">
        <v>48.957271575927699</v>
      </c>
    </row>
    <row r="335" spans="1:30" x14ac:dyDescent="0.25">
      <c r="A335" s="912" t="s">
        <v>619</v>
      </c>
      <c r="B335" s="914">
        <v>21.213121414184599</v>
      </c>
      <c r="C335" s="914">
        <v>22.982162475585898</v>
      </c>
      <c r="D335" s="914">
        <v>26.749811172485401</v>
      </c>
      <c r="E335" s="914">
        <v>16.175968170166001</v>
      </c>
      <c r="F335" s="914">
        <v>18.381326675415</v>
      </c>
      <c r="G335" s="914">
        <v>21.693702697753899</v>
      </c>
      <c r="H335" s="914">
        <v>23.709007263183601</v>
      </c>
      <c r="I335" s="914">
        <v>25.449525833129901</v>
      </c>
      <c r="J335" s="914">
        <v>27.424634933471701</v>
      </c>
      <c r="K335" s="914">
        <v>29.529468536376999</v>
      </c>
      <c r="L335" s="914">
        <v>31.27219581604</v>
      </c>
      <c r="M335" s="914">
        <v>33.093906402587898</v>
      </c>
      <c r="N335" s="914">
        <v>34.856166839599602</v>
      </c>
      <c r="O335" s="914">
        <v>36.438858032226598</v>
      </c>
      <c r="P335" s="914">
        <v>38.015861511230497</v>
      </c>
      <c r="Q335" s="914">
        <v>39.139541625976598</v>
      </c>
      <c r="R335" s="914">
        <v>40.478176116943402</v>
      </c>
      <c r="S335" s="914">
        <v>41.691452026367202</v>
      </c>
      <c r="T335" s="914">
        <v>42.679801940917997</v>
      </c>
      <c r="U335" s="914">
        <v>43.464977264404297</v>
      </c>
      <c r="V335" s="914">
        <v>44.780059814453097</v>
      </c>
      <c r="W335" s="914">
        <v>45.673988342285199</v>
      </c>
      <c r="X335" s="914">
        <v>47.254981994628899</v>
      </c>
      <c r="Y335" s="914">
        <v>49.557445526122997</v>
      </c>
      <c r="Z335" s="914">
        <v>49.9830131530762</v>
      </c>
    </row>
    <row r="336" spans="1:30" x14ac:dyDescent="0.25">
      <c r="A336" s="912" t="s">
        <v>620</v>
      </c>
      <c r="B336" s="914">
        <v>14.844763755798301</v>
      </c>
      <c r="C336" s="914">
        <v>16.0964660644531</v>
      </c>
      <c r="D336" s="914">
        <v>22.673322677612301</v>
      </c>
      <c r="E336" s="914">
        <v>10.878761291503899</v>
      </c>
      <c r="F336" s="914">
        <v>10.805939674377401</v>
      </c>
      <c r="G336" s="914">
        <v>13.641165733337401</v>
      </c>
      <c r="H336" s="914">
        <v>15.7883806228638</v>
      </c>
      <c r="I336" s="914">
        <v>17.847295761108398</v>
      </c>
      <c r="J336" s="914">
        <v>19.768560409545898</v>
      </c>
      <c r="K336" s="914">
        <v>21.6021404266357</v>
      </c>
      <c r="L336" s="914">
        <v>23.1407794952393</v>
      </c>
      <c r="M336" s="914">
        <v>24.738756179809599</v>
      </c>
      <c r="N336" s="914">
        <v>26.200944900512699</v>
      </c>
      <c r="O336" s="914">
        <v>27.323936462402301</v>
      </c>
      <c r="P336" s="914">
        <v>28.3911018371582</v>
      </c>
      <c r="Q336" s="914">
        <v>29.343944549560501</v>
      </c>
      <c r="R336" s="914">
        <v>30.208518981933601</v>
      </c>
      <c r="S336" s="914">
        <v>31.274351119995099</v>
      </c>
      <c r="T336" s="914">
        <v>32.279064178466797</v>
      </c>
      <c r="U336" s="914">
        <v>32.661514282226598</v>
      </c>
      <c r="V336" s="914">
        <v>33.853298187255902</v>
      </c>
      <c r="W336" s="914">
        <v>34.868740081787102</v>
      </c>
      <c r="X336" s="914">
        <v>36.320652008056598</v>
      </c>
      <c r="Y336" s="914">
        <v>37.773586273193402</v>
      </c>
      <c r="Z336" s="914">
        <v>39.040420532226598</v>
      </c>
    </row>
    <row r="337" spans="1:70" x14ac:dyDescent="0.25">
      <c r="A337" s="912" t="s">
        <v>724</v>
      </c>
      <c r="B337" s="914">
        <v>19.740650177001999</v>
      </c>
      <c r="C337" s="914">
        <v>20.921422958373999</v>
      </c>
      <c r="D337" s="914">
        <v>27.660943984985401</v>
      </c>
      <c r="E337" s="914">
        <v>15.872093200683601</v>
      </c>
      <c r="F337" s="914">
        <v>15.1842641830444</v>
      </c>
      <c r="G337" s="914">
        <v>17.936090469360401</v>
      </c>
      <c r="H337" s="914">
        <v>20.100133895873999</v>
      </c>
      <c r="I337" s="914">
        <v>22.737785339355501</v>
      </c>
      <c r="J337" s="914">
        <v>24.745433807373001</v>
      </c>
      <c r="K337" s="914">
        <v>26.438911437988299</v>
      </c>
      <c r="L337" s="914">
        <v>28.0228977203369</v>
      </c>
      <c r="M337" s="914">
        <v>29.7338352203369</v>
      </c>
      <c r="N337" s="914">
        <v>31.2589511871338</v>
      </c>
      <c r="O337" s="914">
        <v>32.543869018554702</v>
      </c>
      <c r="P337" s="914">
        <v>33.764415740966797</v>
      </c>
      <c r="Q337" s="914">
        <v>34.490653991699197</v>
      </c>
      <c r="R337" s="914">
        <v>35.692588806152301</v>
      </c>
      <c r="S337" s="914">
        <v>36.884777069091797</v>
      </c>
      <c r="T337" s="914">
        <v>37.7488403320313</v>
      </c>
      <c r="U337" s="914">
        <v>38.541912078857401</v>
      </c>
      <c r="V337" s="914">
        <v>39.811958312988303</v>
      </c>
      <c r="W337" s="914">
        <v>40.433952331542997</v>
      </c>
      <c r="X337" s="914">
        <v>41.980552673339801</v>
      </c>
      <c r="Y337" s="914">
        <v>44.0175971984863</v>
      </c>
      <c r="Z337" s="914">
        <v>44.845256805419901</v>
      </c>
    </row>
    <row r="338" spans="1:70" x14ac:dyDescent="0.25">
      <c r="A338" s="912" t="s">
        <v>611</v>
      </c>
      <c r="B338" s="914">
        <v>7.9912142753601101</v>
      </c>
      <c r="C338" s="914">
        <v>9.4357099533081108</v>
      </c>
      <c r="D338" s="914">
        <v>14.5987691879272</v>
      </c>
      <c r="E338" s="914">
        <v>6.5974926948547399</v>
      </c>
      <c r="F338" s="914">
        <v>6.8336348533630398</v>
      </c>
      <c r="G338" s="914">
        <v>9.1002550125122106</v>
      </c>
      <c r="H338" s="914">
        <v>10.9850196838379</v>
      </c>
      <c r="I338" s="914">
        <v>12.7856092453003</v>
      </c>
      <c r="J338" s="914">
        <v>14.3925485610962</v>
      </c>
      <c r="K338" s="914">
        <v>16.284711837768601</v>
      </c>
      <c r="L338" s="914">
        <v>17.587419509887699</v>
      </c>
      <c r="M338" s="914">
        <v>18.815961837768601</v>
      </c>
      <c r="N338" s="914">
        <v>20.079933166503899</v>
      </c>
      <c r="O338" s="914">
        <v>21.0047607421875</v>
      </c>
      <c r="P338" s="914">
        <v>21.793167114257798</v>
      </c>
      <c r="Q338" s="914">
        <v>22.696048736572301</v>
      </c>
      <c r="R338" s="914">
        <v>23.3086338043213</v>
      </c>
      <c r="S338" s="914">
        <v>24.011238098144499</v>
      </c>
      <c r="T338" s="914">
        <v>24.648492813110401</v>
      </c>
      <c r="U338" s="914">
        <v>24.8559169769287</v>
      </c>
      <c r="V338" s="914">
        <v>25.6537380218506</v>
      </c>
      <c r="W338" s="914">
        <v>26.666080474853501</v>
      </c>
      <c r="X338" s="914">
        <v>27.731492996215799</v>
      </c>
      <c r="Y338" s="914">
        <v>28.609724044799801</v>
      </c>
      <c r="Z338" s="914">
        <v>29.807550430297901</v>
      </c>
    </row>
    <row r="339" spans="1:70" x14ac:dyDescent="0.25">
      <c r="A339" s="912" t="s">
        <v>622</v>
      </c>
      <c r="B339" s="914">
        <v>15.1338348388672</v>
      </c>
      <c r="C339" s="914">
        <v>15.4958410263062</v>
      </c>
      <c r="D339" s="914">
        <v>17.260919570922901</v>
      </c>
      <c r="E339" s="914">
        <v>13.197589874267599</v>
      </c>
      <c r="F339" s="914">
        <v>14.011960029602101</v>
      </c>
      <c r="G339" s="914">
        <v>14.5198259353638</v>
      </c>
      <c r="H339" s="914">
        <v>14.7125358581543</v>
      </c>
      <c r="I339" s="914">
        <v>14.9809007644653</v>
      </c>
      <c r="J339" s="914">
        <v>15.3987216949463</v>
      </c>
      <c r="K339" s="914">
        <v>15.929105758666999</v>
      </c>
      <c r="L339" s="914">
        <v>16.444049835205099</v>
      </c>
      <c r="M339" s="914">
        <v>16.986526489257798</v>
      </c>
      <c r="N339" s="914">
        <v>17.562019348144499</v>
      </c>
      <c r="O339" s="914">
        <v>18.214298248291001</v>
      </c>
      <c r="P339" s="914">
        <v>18.978889465331999</v>
      </c>
      <c r="Q339" s="914">
        <v>19.653842926025401</v>
      </c>
      <c r="R339" s="914">
        <v>20.151586532592798</v>
      </c>
      <c r="S339" s="914">
        <v>20.264110565185501</v>
      </c>
      <c r="T339" s="914">
        <v>20.6345119476318</v>
      </c>
      <c r="U339" s="914">
        <v>20.930568695068398</v>
      </c>
      <c r="V339" s="914">
        <v>21.5493049621582</v>
      </c>
      <c r="W339" s="914">
        <v>22.330928802490199</v>
      </c>
      <c r="X339" s="914">
        <v>23.217420578002901</v>
      </c>
      <c r="Y339" s="914">
        <v>23.984209060668899</v>
      </c>
      <c r="Z339" s="914">
        <v>24.842088699340799</v>
      </c>
    </row>
    <row r="340" spans="1:70" x14ac:dyDescent="0.25">
      <c r="A340" s="912" t="s">
        <v>479</v>
      </c>
      <c r="B340" s="914">
        <v>29.552911758422901</v>
      </c>
      <c r="C340" s="914">
        <v>30.777971267700199</v>
      </c>
      <c r="D340" s="914">
        <v>34.475650787353501</v>
      </c>
      <c r="E340" s="914">
        <v>32.511272430419901</v>
      </c>
      <c r="F340" s="914">
        <v>28.3578701019287</v>
      </c>
      <c r="G340" s="914">
        <v>29.9883632659912</v>
      </c>
      <c r="H340" s="914">
        <v>30.793474197387699</v>
      </c>
      <c r="I340" s="914">
        <v>31.290824890136701</v>
      </c>
      <c r="J340" s="914">
        <v>31.788017272949201</v>
      </c>
      <c r="K340" s="914">
        <v>32.228786468505902</v>
      </c>
      <c r="L340" s="914">
        <v>33.101249694824197</v>
      </c>
      <c r="M340" s="914">
        <v>33.873565673828097</v>
      </c>
      <c r="N340" s="914">
        <v>34.876777648925803</v>
      </c>
      <c r="O340" s="914">
        <v>35.790927886962898</v>
      </c>
      <c r="P340" s="914">
        <v>37.005527496337898</v>
      </c>
      <c r="Q340" s="914">
        <v>38.374465942382798</v>
      </c>
      <c r="R340" s="914">
        <v>39.741268157958999</v>
      </c>
      <c r="S340" s="914">
        <v>40.743644714355497</v>
      </c>
      <c r="T340" s="914">
        <v>41.832027435302699</v>
      </c>
      <c r="U340" s="914">
        <v>42.8788452148438</v>
      </c>
      <c r="V340" s="914">
        <v>44.165149688720703</v>
      </c>
      <c r="W340" s="914">
        <v>45.822151184082003</v>
      </c>
      <c r="X340" s="914">
        <v>47.770866394042997</v>
      </c>
      <c r="Y340" s="914">
        <v>49.4786567687988</v>
      </c>
      <c r="Z340" s="914">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912" t="s">
        <v>623</v>
      </c>
    </row>
    <row r="343" spans="1:70" x14ac:dyDescent="0.25">
      <c r="A343" s="912" t="s">
        <v>610</v>
      </c>
      <c r="B343" s="914">
        <v>13.411901473999</v>
      </c>
      <c r="C343" s="914">
        <v>14.7725219726563</v>
      </c>
      <c r="D343" s="914">
        <v>19.598173141479499</v>
      </c>
      <c r="E343" s="914">
        <v>12.9002075195313</v>
      </c>
      <c r="F343" s="914">
        <v>10.160784721374499</v>
      </c>
      <c r="G343" s="914">
        <v>12.683879852294901</v>
      </c>
      <c r="H343" s="914">
        <v>14.742367744445801</v>
      </c>
      <c r="I343" s="914">
        <v>16.466316223144499</v>
      </c>
      <c r="J343" s="914">
        <v>18.200975418090799</v>
      </c>
      <c r="K343" s="914">
        <v>20.294946670532202</v>
      </c>
      <c r="L343" s="914">
        <v>21.762416839599599</v>
      </c>
      <c r="M343" s="914">
        <v>23.219928741455099</v>
      </c>
      <c r="N343" s="914">
        <v>24.625257492065401</v>
      </c>
      <c r="O343" s="914">
        <v>25.658937454223601</v>
      </c>
      <c r="P343" s="914">
        <v>26.641567230224599</v>
      </c>
      <c r="Q343" s="914">
        <v>27.554689407348601</v>
      </c>
      <c r="R343" s="914">
        <v>28.433355331420898</v>
      </c>
      <c r="S343" s="914">
        <v>29.525194168090799</v>
      </c>
      <c r="T343" s="914">
        <v>30.595668792724599</v>
      </c>
      <c r="U343" s="914">
        <v>30.812200546264599</v>
      </c>
      <c r="V343" s="914">
        <v>31.8765468597412</v>
      </c>
      <c r="W343" s="914">
        <v>33.023826599121101</v>
      </c>
      <c r="X343" s="914">
        <v>34.249851226806598</v>
      </c>
      <c r="Y343" s="914">
        <v>35.370849609375</v>
      </c>
      <c r="Z343" s="914">
        <v>36.733474731445298</v>
      </c>
    </row>
    <row r="344" spans="1:70" x14ac:dyDescent="0.25">
      <c r="A344" s="912" t="s">
        <v>611</v>
      </c>
      <c r="B344" s="914">
        <v>8.1584053039550799</v>
      </c>
      <c r="C344" s="914">
        <v>8.5664386749267596</v>
      </c>
      <c r="D344" s="914">
        <v>14.623919486999499</v>
      </c>
      <c r="E344" s="914">
        <v>6.72200632095337</v>
      </c>
      <c r="F344" s="914">
        <v>6.9281921386718803</v>
      </c>
      <c r="G344" s="914">
        <v>9.7774429321289098</v>
      </c>
      <c r="H344" s="914">
        <v>11.688641548156699</v>
      </c>
      <c r="I344" s="914">
        <v>13.5591955184937</v>
      </c>
      <c r="J344" s="914">
        <v>15.198254585266101</v>
      </c>
      <c r="K344" s="914">
        <v>17.122402191162099</v>
      </c>
      <c r="L344" s="914">
        <v>18.4469089508057</v>
      </c>
      <c r="M344" s="914">
        <v>19.645553588867202</v>
      </c>
      <c r="N344" s="914">
        <v>20.905046463012699</v>
      </c>
      <c r="O344" s="914">
        <v>21.461814880371101</v>
      </c>
      <c r="P344" s="914">
        <v>22.275539398193398</v>
      </c>
      <c r="Q344" s="914">
        <v>23.178005218505898</v>
      </c>
      <c r="R344" s="914">
        <v>23.921798706054702</v>
      </c>
      <c r="S344" s="914">
        <v>24.712652206420898</v>
      </c>
      <c r="T344" s="914">
        <v>25.390251159668001</v>
      </c>
      <c r="U344" s="914">
        <v>25.605690002441399</v>
      </c>
      <c r="V344" s="914">
        <v>26.419223785400401</v>
      </c>
      <c r="W344" s="914">
        <v>27.371679306030298</v>
      </c>
      <c r="X344" s="914">
        <v>28.437421798706101</v>
      </c>
      <c r="Y344" s="914">
        <v>29.318086624145501</v>
      </c>
      <c r="Z344" s="914">
        <v>30.4597358703613</v>
      </c>
    </row>
    <row r="345" spans="1:70" x14ac:dyDescent="0.25">
      <c r="A345" s="912" t="s">
        <v>510</v>
      </c>
      <c r="B345" s="914">
        <v>6.8695855140686</v>
      </c>
      <c r="C345" s="914">
        <v>7.0191597938537598</v>
      </c>
      <c r="D345" s="914">
        <v>9.0666198730468803</v>
      </c>
      <c r="E345" s="914">
        <v>4.70163822174072</v>
      </c>
      <c r="F345" s="914">
        <v>5.3228030204772896</v>
      </c>
      <c r="G345" s="914">
        <v>5.7259230613708496</v>
      </c>
      <c r="H345" s="914">
        <v>5.8670849800109899</v>
      </c>
      <c r="I345" s="914">
        <v>5.9947657585143999</v>
      </c>
      <c r="J345" s="914">
        <v>6.2809138298034703</v>
      </c>
      <c r="K345" s="914">
        <v>6.6566915512084996</v>
      </c>
      <c r="L345" s="914">
        <v>7.0282440185546902</v>
      </c>
      <c r="M345" s="914">
        <v>7.4117355346679696</v>
      </c>
      <c r="N345" s="914">
        <v>7.8389544486999503</v>
      </c>
      <c r="O345" s="914">
        <v>8.3448457717895508</v>
      </c>
      <c r="P345" s="914">
        <v>8.9240303039550799</v>
      </c>
      <c r="Q345" s="914">
        <v>9.4456386566162092</v>
      </c>
      <c r="R345" s="914">
        <v>9.7849264144897496</v>
      </c>
      <c r="S345" s="914">
        <v>9.7760477066040004</v>
      </c>
      <c r="T345" s="914">
        <v>10.055270195007299</v>
      </c>
      <c r="U345" s="914">
        <v>10.193024635314901</v>
      </c>
      <c r="V345" s="914">
        <v>10.610521316528301</v>
      </c>
      <c r="W345" s="914">
        <v>11.20911693573</v>
      </c>
      <c r="X345" s="914">
        <v>11.9389839172363</v>
      </c>
      <c r="Y345" s="914">
        <v>12.519255638122599</v>
      </c>
      <c r="Z345" s="914">
        <v>13.197782516479499</v>
      </c>
    </row>
    <row r="346" spans="1:70" x14ac:dyDescent="0.25">
      <c r="A346" s="912" t="s">
        <v>624</v>
      </c>
      <c r="B346" s="914">
        <v>1.6900001764297501</v>
      </c>
      <c r="C346" s="914">
        <v>1.7800002098083501</v>
      </c>
      <c r="D346" s="914">
        <v>1.97352075576782</v>
      </c>
      <c r="E346" s="914">
        <v>2.0458421707153298</v>
      </c>
      <c r="F346" s="914">
        <v>1.9325078725814799</v>
      </c>
      <c r="G346" s="914">
        <v>1.9669165611267101</v>
      </c>
      <c r="H346" s="914">
        <v>1.97483730316162</v>
      </c>
      <c r="I346" s="914">
        <v>2.0363006591796902</v>
      </c>
      <c r="J346" s="914">
        <v>2.1044862270355198</v>
      </c>
      <c r="K346" s="914">
        <v>2.15470170974731</v>
      </c>
      <c r="L346" s="914">
        <v>2.2153303623199498</v>
      </c>
      <c r="M346" s="914">
        <v>2.2768745422363299</v>
      </c>
      <c r="N346" s="914">
        <v>2.3487181663513201</v>
      </c>
      <c r="O346" s="914">
        <v>2.4114518165588401</v>
      </c>
      <c r="P346" s="914">
        <v>2.4841165542602499</v>
      </c>
      <c r="Q346" s="914">
        <v>2.5551335811614999</v>
      </c>
      <c r="R346" s="914">
        <v>2.63751268386841</v>
      </c>
      <c r="S346" s="914">
        <v>2.7085535526275599</v>
      </c>
      <c r="T346" s="914">
        <v>2.7758009433746298</v>
      </c>
      <c r="U346" s="914">
        <v>2.84079241752625</v>
      </c>
      <c r="V346" s="914">
        <v>2.9094073772430402</v>
      </c>
      <c r="W346" s="914">
        <v>2.9860992431640598</v>
      </c>
      <c r="X346" s="914">
        <v>3.0685904026031499</v>
      </c>
      <c r="Y346" s="914">
        <v>3.1531631946563698</v>
      </c>
      <c r="Z346" s="914">
        <v>3.23557353019714</v>
      </c>
    </row>
    <row r="348" spans="1:70" x14ac:dyDescent="0.25">
      <c r="A348" s="912" t="s">
        <v>625</v>
      </c>
    </row>
    <row r="349" spans="1:70" x14ac:dyDescent="0.25">
      <c r="A349" s="912" t="s">
        <v>609</v>
      </c>
      <c r="B349" s="914">
        <v>15.246436119079601</v>
      </c>
      <c r="C349" s="914">
        <v>18.5313529968262</v>
      </c>
      <c r="D349" s="914">
        <v>20.134397506713899</v>
      </c>
      <c r="E349" s="914">
        <v>16.9350070953369</v>
      </c>
      <c r="F349" s="914">
        <v>16.912326812744102</v>
      </c>
      <c r="G349" s="914">
        <v>19.346534729003899</v>
      </c>
      <c r="H349" s="914">
        <v>21.4945392608643</v>
      </c>
      <c r="I349" s="914">
        <v>23.604782104492202</v>
      </c>
      <c r="J349" s="914">
        <v>25.696203231811499</v>
      </c>
      <c r="K349" s="914">
        <v>28.031579971313501</v>
      </c>
      <c r="L349" s="914">
        <v>29.828712463378899</v>
      </c>
      <c r="M349" s="914">
        <v>31.479301452636701</v>
      </c>
      <c r="N349" s="914">
        <v>33.231895446777301</v>
      </c>
      <c r="O349" s="914">
        <v>34.5145874023438</v>
      </c>
      <c r="P349" s="914">
        <v>35.698520660400398</v>
      </c>
      <c r="Q349" s="914">
        <v>36.883983612060497</v>
      </c>
      <c r="R349" s="914">
        <v>37.996242523193402</v>
      </c>
      <c r="S349" s="914">
        <v>39.337680816650398</v>
      </c>
      <c r="T349" s="914">
        <v>40.431327819824197</v>
      </c>
      <c r="U349" s="914">
        <v>40.7233276367188</v>
      </c>
      <c r="V349" s="914">
        <v>41.9925727844238</v>
      </c>
      <c r="W349" s="914">
        <v>43.322719573974602</v>
      </c>
      <c r="X349" s="914">
        <v>44.788909912109403</v>
      </c>
      <c r="Y349" s="914">
        <v>45.941520690917997</v>
      </c>
      <c r="Z349" s="914">
        <v>47.553462982177699</v>
      </c>
    </row>
    <row r="350" spans="1:70" x14ac:dyDescent="0.25">
      <c r="A350" s="912" t="s">
        <v>618</v>
      </c>
      <c r="B350" s="914">
        <v>24.84494972229</v>
      </c>
      <c r="C350" s="914">
        <v>26.818180084228501</v>
      </c>
      <c r="D350" s="914">
        <v>34.822681427002003</v>
      </c>
      <c r="E350" s="914">
        <v>21.049989700317401</v>
      </c>
      <c r="F350" s="914">
        <v>19.580844879150401</v>
      </c>
      <c r="G350" s="914">
        <v>23.622909545898398</v>
      </c>
      <c r="H350" s="914">
        <v>25.881950378418001</v>
      </c>
      <c r="I350" s="914">
        <v>28.009447097778299</v>
      </c>
      <c r="J350" s="914">
        <v>30.2537937164307</v>
      </c>
      <c r="K350" s="914">
        <v>28.866632461547901</v>
      </c>
      <c r="L350" s="914">
        <v>30.4276523590088</v>
      </c>
      <c r="M350" s="914">
        <v>31.969417572021499</v>
      </c>
      <c r="N350" s="914">
        <v>32.765193939208999</v>
      </c>
      <c r="O350" s="914">
        <v>35.757926940917997</v>
      </c>
      <c r="P350" s="914">
        <v>37.577915191650398</v>
      </c>
      <c r="Q350" s="914">
        <v>38.662086486816399</v>
      </c>
      <c r="R350" s="914">
        <v>39.8419189453125</v>
      </c>
      <c r="S350" s="914">
        <v>41.092353820800803</v>
      </c>
      <c r="T350" s="914">
        <v>42.114028930664098</v>
      </c>
      <c r="U350" s="914">
        <v>42.893341064453097</v>
      </c>
      <c r="V350" s="914">
        <v>44.2104301452637</v>
      </c>
      <c r="W350" s="914">
        <v>44.896373748779297</v>
      </c>
      <c r="X350" s="914">
        <v>46.4299926757813</v>
      </c>
      <c r="Y350" s="914">
        <v>48.419319152832003</v>
      </c>
      <c r="Z350" s="914">
        <v>48.957271575927699</v>
      </c>
    </row>
    <row r="351" spans="1:70" x14ac:dyDescent="0.25">
      <c r="A351" s="912" t="s">
        <v>619</v>
      </c>
      <c r="B351" s="914">
        <v>21.081119537353501</v>
      </c>
      <c r="C351" s="914">
        <v>22.8191947937012</v>
      </c>
      <c r="D351" s="914">
        <v>26.582485198974599</v>
      </c>
      <c r="E351" s="914">
        <v>16.308473587036101</v>
      </c>
      <c r="F351" s="914">
        <v>18.3791694641113</v>
      </c>
      <c r="G351" s="914">
        <v>21.690732955932599</v>
      </c>
      <c r="H351" s="914">
        <v>23.705785751342798</v>
      </c>
      <c r="I351" s="914">
        <v>25.446578979492202</v>
      </c>
      <c r="J351" s="914">
        <v>27.421388626098601</v>
      </c>
      <c r="K351" s="914">
        <v>29.526109695434599</v>
      </c>
      <c r="L351" s="914">
        <v>31.268815994262699</v>
      </c>
      <c r="M351" s="914">
        <v>33.090030670166001</v>
      </c>
      <c r="N351" s="914">
        <v>34.852634429931598</v>
      </c>
      <c r="O351" s="914">
        <v>36.4355278015137</v>
      </c>
      <c r="P351" s="914">
        <v>38.011890411377003</v>
      </c>
      <c r="Q351" s="914">
        <v>39.135532379150398</v>
      </c>
      <c r="R351" s="914">
        <v>40.475978851318402</v>
      </c>
      <c r="S351" s="914">
        <v>41.687484741210902</v>
      </c>
      <c r="T351" s="914">
        <v>42.675270080566399</v>
      </c>
      <c r="U351" s="914">
        <v>43.460239410400398</v>
      </c>
      <c r="V351" s="914">
        <v>44.775581359863303</v>
      </c>
      <c r="W351" s="914">
        <v>45.668975830078097</v>
      </c>
      <c r="X351" s="914">
        <v>47.250167846679702</v>
      </c>
      <c r="Y351" s="914">
        <v>49.551605224609403</v>
      </c>
      <c r="Z351" s="914">
        <v>49.978668212890597</v>
      </c>
    </row>
    <row r="352" spans="1:70" x14ac:dyDescent="0.25">
      <c r="A352" s="912" t="s">
        <v>626</v>
      </c>
      <c r="B352" s="914">
        <v>14.844763755798301</v>
      </c>
      <c r="C352" s="914">
        <v>16.0964660644531</v>
      </c>
      <c r="D352" s="914">
        <v>22.673322677612301</v>
      </c>
      <c r="E352" s="914">
        <v>10.878761291503899</v>
      </c>
      <c r="F352" s="914">
        <v>10.805939674377401</v>
      </c>
      <c r="G352" s="914">
        <v>13.641165733337401</v>
      </c>
      <c r="H352" s="914">
        <v>15.7883806228638</v>
      </c>
      <c r="I352" s="914">
        <v>17.847295761108398</v>
      </c>
      <c r="J352" s="914">
        <v>19.768560409545898</v>
      </c>
      <c r="K352" s="914">
        <v>21.6021404266357</v>
      </c>
      <c r="L352" s="914">
        <v>23.1407794952393</v>
      </c>
      <c r="M352" s="914">
        <v>24.738756179809599</v>
      </c>
      <c r="N352" s="914">
        <v>26.200944900512699</v>
      </c>
      <c r="O352" s="914">
        <v>27.323936462402301</v>
      </c>
      <c r="P352" s="914">
        <v>28.3911018371582</v>
      </c>
      <c r="Q352" s="914">
        <v>29.343944549560501</v>
      </c>
      <c r="R352" s="914">
        <v>30.208518981933601</v>
      </c>
      <c r="S352" s="914">
        <v>31.274351119995099</v>
      </c>
      <c r="T352" s="914">
        <v>32.279064178466797</v>
      </c>
      <c r="U352" s="914">
        <v>32.661514282226598</v>
      </c>
      <c r="V352" s="914">
        <v>33.853298187255902</v>
      </c>
      <c r="W352" s="914">
        <v>34.868740081787102</v>
      </c>
      <c r="X352" s="914">
        <v>36.320652008056598</v>
      </c>
      <c r="Y352" s="914">
        <v>37.773586273193402</v>
      </c>
      <c r="Z352" s="914">
        <v>39.040420532226598</v>
      </c>
    </row>
    <row r="353" spans="1:70" x14ac:dyDescent="0.25">
      <c r="A353" s="912" t="s">
        <v>610</v>
      </c>
      <c r="B353" s="914">
        <v>18.668458938598601</v>
      </c>
      <c r="C353" s="914">
        <v>19.9431552886963</v>
      </c>
      <c r="D353" s="914">
        <v>26.286823272705099</v>
      </c>
      <c r="E353" s="914">
        <v>15.636975288391101</v>
      </c>
      <c r="F353" s="914">
        <v>14.1092176437378</v>
      </c>
      <c r="G353" s="914">
        <v>16.902593612670898</v>
      </c>
      <c r="H353" s="914">
        <v>19.1516017913818</v>
      </c>
      <c r="I353" s="914">
        <v>21.744958877563501</v>
      </c>
      <c r="J353" s="914">
        <v>23.745824813842798</v>
      </c>
      <c r="K353" s="914">
        <v>25.478622436523398</v>
      </c>
      <c r="L353" s="914">
        <v>27.0623779296875</v>
      </c>
      <c r="M353" s="914">
        <v>28.722316741943398</v>
      </c>
      <c r="N353" s="914">
        <v>30.288469314575199</v>
      </c>
      <c r="O353" s="914">
        <v>31.560461044311499</v>
      </c>
      <c r="P353" s="914">
        <v>32.757129669189503</v>
      </c>
      <c r="Q353" s="914">
        <v>33.523193359375</v>
      </c>
      <c r="R353" s="914">
        <v>34.769081115722699</v>
      </c>
      <c r="S353" s="914">
        <v>35.882114410400398</v>
      </c>
      <c r="T353" s="914">
        <v>36.791599273681598</v>
      </c>
      <c r="U353" s="914">
        <v>37.5217895507813</v>
      </c>
      <c r="V353" s="914">
        <v>38.800697326660199</v>
      </c>
      <c r="W353" s="914">
        <v>39.467311859130902</v>
      </c>
      <c r="X353" s="914">
        <v>40.997920989990199</v>
      </c>
      <c r="Y353" s="914">
        <v>42.937191009521499</v>
      </c>
      <c r="Z353" s="914">
        <v>43.857540130615199</v>
      </c>
    </row>
    <row r="354" spans="1:70" x14ac:dyDescent="0.25">
      <c r="A354" s="912" t="s">
        <v>611</v>
      </c>
      <c r="B354" s="914">
        <v>8.2036781311035192</v>
      </c>
      <c r="C354" s="914">
        <v>9.3672227859497106</v>
      </c>
      <c r="D354" s="914">
        <v>14.4897508621216</v>
      </c>
      <c r="E354" s="914">
        <v>6.7128052711486799</v>
      </c>
      <c r="F354" s="914">
        <v>7.1757683753967303</v>
      </c>
      <c r="G354" s="914">
        <v>9.6609458923339808</v>
      </c>
      <c r="H354" s="914">
        <v>11.544206619262701</v>
      </c>
      <c r="I354" s="914">
        <v>13.370221138000501</v>
      </c>
      <c r="J354" s="914">
        <v>14.996021270751999</v>
      </c>
      <c r="K354" s="914">
        <v>16.898206710815401</v>
      </c>
      <c r="L354" s="914">
        <v>18.207862854003899</v>
      </c>
      <c r="M354" s="914">
        <v>19.411674499511701</v>
      </c>
      <c r="N354" s="914">
        <v>20.6822299957275</v>
      </c>
      <c r="O354" s="914">
        <v>21.516969680786101</v>
      </c>
      <c r="P354" s="914">
        <v>22.335527420043899</v>
      </c>
      <c r="Q354" s="914">
        <v>23.2407321929932</v>
      </c>
      <c r="R354" s="914">
        <v>23.916133880615199</v>
      </c>
      <c r="S354" s="914">
        <v>24.6660556793213</v>
      </c>
      <c r="T354" s="914">
        <v>25.322589874267599</v>
      </c>
      <c r="U354" s="914">
        <v>25.500698089599599</v>
      </c>
      <c r="V354" s="914">
        <v>26.3019409179688</v>
      </c>
      <c r="W354" s="914">
        <v>27.270561218261701</v>
      </c>
      <c r="X354" s="914">
        <v>28.332614898681602</v>
      </c>
      <c r="Y354" s="914">
        <v>29.2080383300781</v>
      </c>
      <c r="Z354" s="914">
        <v>30.365930557251001</v>
      </c>
    </row>
    <row r="355" spans="1:70" x14ac:dyDescent="0.25">
      <c r="A355" s="912" t="s">
        <v>510</v>
      </c>
      <c r="B355" s="914">
        <v>9.2523355484008807</v>
      </c>
      <c r="C355" s="914">
        <v>9.0060253143310494</v>
      </c>
      <c r="D355" s="914">
        <v>10.405486106872599</v>
      </c>
      <c r="E355" s="914">
        <v>6.98002004623413</v>
      </c>
      <c r="F355" s="914">
        <v>7.7092094421386701</v>
      </c>
      <c r="G355" s="914">
        <v>8.12390232086182</v>
      </c>
      <c r="H355" s="914">
        <v>8.2825136184692401</v>
      </c>
      <c r="I355" s="914">
        <v>8.4401350021362305</v>
      </c>
      <c r="J355" s="914">
        <v>8.7418422698974592</v>
      </c>
      <c r="K355" s="914">
        <v>9.1197204589843803</v>
      </c>
      <c r="L355" s="914">
        <v>9.5538625717163104</v>
      </c>
      <c r="M355" s="914">
        <v>10.0050344467163</v>
      </c>
      <c r="N355" s="914">
        <v>10.4820852279663</v>
      </c>
      <c r="O355" s="914">
        <v>11.0441122055054</v>
      </c>
      <c r="P355" s="914">
        <v>11.7092485427856</v>
      </c>
      <c r="Q355" s="914">
        <v>12.280260086059601</v>
      </c>
      <c r="R355" s="914">
        <v>12.668963432311999</v>
      </c>
      <c r="S355" s="914">
        <v>12.670117378234901</v>
      </c>
      <c r="T355" s="914">
        <v>12.917200088501</v>
      </c>
      <c r="U355" s="914">
        <v>13.0803108215332</v>
      </c>
      <c r="V355" s="914">
        <v>13.574273109436</v>
      </c>
      <c r="W355" s="914">
        <v>14.23717212677</v>
      </c>
      <c r="X355" s="914">
        <v>15.0462560653687</v>
      </c>
      <c r="Y355" s="914">
        <v>15.740474700927701</v>
      </c>
      <c r="Z355" s="914">
        <v>16.4913539886475</v>
      </c>
    </row>
    <row r="356" spans="1:70" ht="13" thickBot="1" x14ac:dyDescent="0.3">
      <c r="A356" s="912" t="s">
        <v>614</v>
      </c>
      <c r="B356" s="914">
        <v>3.53999996185303</v>
      </c>
      <c r="C356" s="914">
        <v>3.6099998950958301</v>
      </c>
      <c r="D356" s="914">
        <v>4.1449666023254403</v>
      </c>
      <c r="E356" s="914">
        <v>4.1784791946411097</v>
      </c>
      <c r="F356" s="914">
        <v>4.1485314369201696</v>
      </c>
      <c r="G356" s="914">
        <v>4.3175525665283203</v>
      </c>
      <c r="H356" s="914">
        <v>4.44484186172485</v>
      </c>
      <c r="I356" s="914">
        <v>4.5821456909179696</v>
      </c>
      <c r="J356" s="914">
        <v>4.7206311225891104</v>
      </c>
      <c r="K356" s="914">
        <v>4.8563599586486799</v>
      </c>
      <c r="L356" s="914">
        <v>4.9913563728332502</v>
      </c>
      <c r="M356" s="914">
        <v>5.1233406066894496</v>
      </c>
      <c r="N356" s="914">
        <v>5.2680139541626003</v>
      </c>
      <c r="O356" s="914">
        <v>5.4137320518493697</v>
      </c>
      <c r="P356" s="914">
        <v>5.5743689537048304</v>
      </c>
      <c r="Q356" s="914">
        <v>5.7906579971313503</v>
      </c>
      <c r="R356" s="914">
        <v>6.0209679603576696</v>
      </c>
      <c r="S356" s="914">
        <v>6.20045709609985</v>
      </c>
      <c r="T356" s="914">
        <v>6.3775997161865199</v>
      </c>
      <c r="U356" s="914">
        <v>6.5161404609680202</v>
      </c>
      <c r="V356" s="914">
        <v>6.6299972534179696</v>
      </c>
      <c r="W356" s="914">
        <v>6.7667918205261204</v>
      </c>
      <c r="X356" s="914">
        <v>6.88553714752197</v>
      </c>
      <c r="Y356" s="914">
        <v>6.9704546928405797</v>
      </c>
      <c r="Z356" s="914">
        <v>7.0137753486633301</v>
      </c>
    </row>
    <row r="357" spans="1:70" ht="13" thickBot="1" x14ac:dyDescent="0.3">
      <c r="A357" s="912" t="s">
        <v>627</v>
      </c>
      <c r="B357" s="914">
        <v>1.73100674152374</v>
      </c>
      <c r="C357" s="914">
        <v>1.81885313987732</v>
      </c>
      <c r="D357" s="914">
        <v>2.01088166236877</v>
      </c>
      <c r="E357" s="914">
        <v>2.0711190700531001</v>
      </c>
      <c r="F357" s="914">
        <v>1.96068322658539</v>
      </c>
      <c r="G357" s="914">
        <v>1.99932932853699</v>
      </c>
      <c r="H357" s="914">
        <v>2.0096416473388699</v>
      </c>
      <c r="I357" s="914">
        <v>2.07272601127625</v>
      </c>
      <c r="J357" s="914">
        <v>2.1420636177063002</v>
      </c>
      <c r="K357" s="914">
        <v>2.1925818920135498</v>
      </c>
      <c r="L357" s="914">
        <v>2.2534883022308301</v>
      </c>
      <c r="M357" s="914">
        <v>2.3155770301818799</v>
      </c>
      <c r="N357" s="914">
        <v>2.38794946670532</v>
      </c>
      <c r="O357" s="914">
        <v>2.4510562419891402</v>
      </c>
      <c r="P357" s="914">
        <v>2.52451372146606</v>
      </c>
      <c r="Q357" s="914">
        <v>2.5963439941406299</v>
      </c>
      <c r="R357" s="914">
        <v>2.6790707111358598</v>
      </c>
      <c r="S357" s="914">
        <v>2.7507226467132599</v>
      </c>
      <c r="T357" s="914">
        <v>2.8189043998718302</v>
      </c>
      <c r="U357" s="914">
        <v>2.8845274448394802</v>
      </c>
      <c r="V357" s="914">
        <v>2.9543473720550502</v>
      </c>
      <c r="W357" s="914">
        <v>3.0319309234619101</v>
      </c>
      <c r="X357" s="914">
        <v>3.1151678562164302</v>
      </c>
      <c r="Y357" s="914">
        <v>3.20047926902771</v>
      </c>
      <c r="Z357" s="914">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 thickBot="1" x14ac:dyDescent="0.3">
      <c r="A358" s="912" t="s">
        <v>616</v>
      </c>
      <c r="B358" s="914">
        <v>0</v>
      </c>
      <c r="C358" s="914">
        <v>0</v>
      </c>
      <c r="D358" s="914">
        <v>0</v>
      </c>
      <c r="E358" s="914">
        <v>0</v>
      </c>
      <c r="F358" s="914">
        <v>0</v>
      </c>
      <c r="G358" s="914">
        <v>1.5889266729354901</v>
      </c>
      <c r="H358" s="914">
        <v>1.46094393730164</v>
      </c>
      <c r="I358" s="914">
        <v>1.28843116760254</v>
      </c>
      <c r="J358" s="914">
        <v>1.5101318359375</v>
      </c>
      <c r="K358" s="914">
        <v>1.50810551643372</v>
      </c>
      <c r="L358" s="914">
        <v>1.5213859081268299</v>
      </c>
      <c r="M358" s="914">
        <v>1.53951179981232</v>
      </c>
      <c r="N358" s="914">
        <v>1.58338570594788</v>
      </c>
      <c r="O358" s="914">
        <v>1.63723039627075</v>
      </c>
      <c r="P358" s="914">
        <v>1.71289122104645</v>
      </c>
      <c r="Q358" s="914">
        <v>1.76114201545715</v>
      </c>
      <c r="R358" s="914">
        <v>1.8119050264358501</v>
      </c>
      <c r="S358" s="914">
        <v>1.8629466295242301</v>
      </c>
      <c r="T358" s="914">
        <v>1.9169825315475499</v>
      </c>
      <c r="U358" s="914">
        <v>1.9466364383697501</v>
      </c>
      <c r="V358" s="914">
        <v>1.9911848306655899</v>
      </c>
      <c r="W358" s="914">
        <v>2.0416746139526398</v>
      </c>
      <c r="X358" s="914">
        <v>2.09020328521729</v>
      </c>
      <c r="Y358" s="914">
        <v>2.1373581886291499</v>
      </c>
      <c r="Z358" s="914">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5">
      <c r="A359" s="912" t="s">
        <v>479</v>
      </c>
      <c r="B359" s="914">
        <v>25.973251342773398</v>
      </c>
      <c r="C359" s="914">
        <v>26.680915832519499</v>
      </c>
      <c r="D359" s="914">
        <v>28.4103908538818</v>
      </c>
      <c r="E359" s="914">
        <v>27.544679641723601</v>
      </c>
      <c r="F359" s="914">
        <v>25.191349029541001</v>
      </c>
      <c r="G359" s="914">
        <v>26.348068237304702</v>
      </c>
      <c r="H359" s="914">
        <v>26.6303806304932</v>
      </c>
      <c r="I359" s="914">
        <v>27.154542922973601</v>
      </c>
      <c r="J359" s="914">
        <v>28.002742767333999</v>
      </c>
      <c r="K359" s="914">
        <v>28.757371902465799</v>
      </c>
      <c r="L359" s="914">
        <v>29.780685424804702</v>
      </c>
      <c r="M359" s="914">
        <v>30.870384216308601</v>
      </c>
      <c r="N359" s="914">
        <v>32.039138793945298</v>
      </c>
      <c r="O359" s="914">
        <v>33.131908416747997</v>
      </c>
      <c r="P359" s="914">
        <v>34.493354797363303</v>
      </c>
      <c r="Q359" s="914">
        <v>35.847507476806598</v>
      </c>
      <c r="R359" s="914">
        <v>37.095943450927699</v>
      </c>
      <c r="S359" s="914">
        <v>37.945499420166001</v>
      </c>
      <c r="T359" s="914">
        <v>38.854724884033203</v>
      </c>
      <c r="U359" s="914">
        <v>39.667263031005902</v>
      </c>
      <c r="V359" s="914">
        <v>40.613765716552699</v>
      </c>
      <c r="W359" s="914">
        <v>41.989593505859403</v>
      </c>
      <c r="X359" s="914">
        <v>43.556324005127003</v>
      </c>
      <c r="Y359" s="914">
        <v>45.098350524902301</v>
      </c>
      <c r="Z359" s="914">
        <v>46.616588592529297</v>
      </c>
    </row>
    <row r="361" spans="1:70" x14ac:dyDescent="0.25">
      <c r="A361" s="912" t="s">
        <v>513</v>
      </c>
    </row>
    <row r="362" spans="1:70" x14ac:dyDescent="0.25">
      <c r="A362" s="912" t="s">
        <v>727</v>
      </c>
    </row>
    <row r="363" spans="1:70" x14ac:dyDescent="0.25">
      <c r="A363" s="912" t="s">
        <v>473</v>
      </c>
      <c r="B363" s="914">
        <v>225.03859096661196</v>
      </c>
      <c r="C363" s="914">
        <v>238.40081787109398</v>
      </c>
      <c r="D363" s="914">
        <v>255.49913625772319</v>
      </c>
      <c r="E363" s="914">
        <v>230.9929746666815</v>
      </c>
      <c r="F363" s="914">
        <v>223.41247611699868</v>
      </c>
      <c r="G363" s="914">
        <v>235.2892736225177</v>
      </c>
      <c r="H363" s="914">
        <v>241.6920712265439</v>
      </c>
      <c r="I363" s="914">
        <v>246.56659612211084</v>
      </c>
      <c r="J363" s="914">
        <v>255.55094332875294</v>
      </c>
      <c r="K363" s="914">
        <v>264.57905396662414</v>
      </c>
      <c r="L363" s="914">
        <v>275.89920726734971</v>
      </c>
      <c r="M363" s="914">
        <v>287.49516661999758</v>
      </c>
      <c r="N363" s="914">
        <v>300.32909110683801</v>
      </c>
      <c r="O363" s="914">
        <v>313.11554742582229</v>
      </c>
      <c r="P363" s="914">
        <v>328.18192619930682</v>
      </c>
      <c r="Q363" s="914">
        <v>341.8235015289352</v>
      </c>
      <c r="R363" s="914">
        <v>355.09694320426638</v>
      </c>
      <c r="S363" s="914">
        <v>365.44612056098629</v>
      </c>
      <c r="T363" s="914">
        <v>378.29315112389759</v>
      </c>
      <c r="U363" s="914">
        <v>388.37155634393389</v>
      </c>
      <c r="V363" s="914">
        <v>402.59953615177363</v>
      </c>
      <c r="W363" s="914">
        <v>419.77981120164446</v>
      </c>
      <c r="X363" s="914">
        <v>438.87123825530841</v>
      </c>
      <c r="Y363" s="914">
        <v>455.24534715742953</v>
      </c>
      <c r="Z363" s="914">
        <v>473.03338245571979</v>
      </c>
    </row>
    <row r="364" spans="1:70" x14ac:dyDescent="0.25">
      <c r="A364" s="912" t="s">
        <v>480</v>
      </c>
      <c r="B364" s="914">
        <v>165.81601818957134</v>
      </c>
      <c r="C364" s="914">
        <v>172.89260864257801</v>
      </c>
      <c r="D364" s="914">
        <v>187.38257557629601</v>
      </c>
      <c r="E364" s="914">
        <v>169.14737359110225</v>
      </c>
      <c r="F364" s="914">
        <v>163.07263216137929</v>
      </c>
      <c r="G364" s="914">
        <v>172.91593328178766</v>
      </c>
      <c r="H364" s="914">
        <v>176.9297785804325</v>
      </c>
      <c r="I364" s="914">
        <v>182.88131988639063</v>
      </c>
      <c r="J364" s="914">
        <v>191.23749630338142</v>
      </c>
      <c r="K364" s="914">
        <v>199.89645601118545</v>
      </c>
      <c r="L364" s="914">
        <v>210.36479941888081</v>
      </c>
      <c r="M364" s="914">
        <v>221.36240217535854</v>
      </c>
      <c r="N364" s="914">
        <v>233.19080564556924</v>
      </c>
      <c r="O364" s="914">
        <v>244.70314616363081</v>
      </c>
      <c r="P364" s="914">
        <v>258.1051490216438</v>
      </c>
      <c r="Q364" s="914">
        <v>271.26123343313407</v>
      </c>
      <c r="R364" s="914">
        <v>283.50995205362011</v>
      </c>
      <c r="S364" s="914">
        <v>292.88584879534454</v>
      </c>
      <c r="T364" s="914">
        <v>303.70259464185926</v>
      </c>
      <c r="U364" s="914">
        <v>313.58347456242666</v>
      </c>
      <c r="V364" s="914">
        <v>325.89089746765683</v>
      </c>
      <c r="W364" s="914">
        <v>341.11550736031069</v>
      </c>
      <c r="X364" s="914">
        <v>358.21009848865214</v>
      </c>
      <c r="Y364" s="914">
        <v>374.9131546581271</v>
      </c>
      <c r="Z364" s="914">
        <v>392.1016075075479</v>
      </c>
    </row>
    <row r="365" spans="1:70" ht="13" thickBot="1" x14ac:dyDescent="0.3">
      <c r="A365" s="912" t="s">
        <v>515</v>
      </c>
      <c r="B365" s="914">
        <v>210.41252056252281</v>
      </c>
      <c r="C365" s="914">
        <v>226.88609313964801</v>
      </c>
      <c r="D365" s="914">
        <v>254.13497179068762</v>
      </c>
      <c r="E365" s="914">
        <v>187.2100922767749</v>
      </c>
      <c r="F365" s="914">
        <v>157.4270874391178</v>
      </c>
      <c r="G365" s="914">
        <v>180.83829470805441</v>
      </c>
      <c r="H365" s="914">
        <v>198.41655822177904</v>
      </c>
      <c r="I365" s="914">
        <v>216.64201952030527</v>
      </c>
      <c r="J365" s="914">
        <v>228.79975664936245</v>
      </c>
      <c r="K365" s="914">
        <v>241.15463361452254</v>
      </c>
      <c r="L365" s="914">
        <v>252.64480203410886</v>
      </c>
      <c r="M365" s="914">
        <v>265.1637238738445</v>
      </c>
      <c r="N365" s="914">
        <v>278.29776899368039</v>
      </c>
      <c r="O365" s="914">
        <v>289.61773721654419</v>
      </c>
      <c r="P365" s="914">
        <v>303.56832242347855</v>
      </c>
      <c r="Q365" s="914">
        <v>314.41390898844122</v>
      </c>
      <c r="R365" s="914">
        <v>323.63277263436424</v>
      </c>
      <c r="S365" s="914">
        <v>331.42426143912343</v>
      </c>
      <c r="T365" s="914">
        <v>339.57307272400601</v>
      </c>
      <c r="U365" s="914">
        <v>343.93727888891527</v>
      </c>
      <c r="V365" s="914">
        <v>351.82746805051073</v>
      </c>
      <c r="W365" s="914">
        <v>360.73339056833169</v>
      </c>
      <c r="X365" s="914">
        <v>371.92375563686846</v>
      </c>
      <c r="Y365" s="914">
        <v>381.22301587849751</v>
      </c>
      <c r="Z365" s="914">
        <v>389.10731115707301</v>
      </c>
    </row>
    <row r="366" spans="1:70" ht="13" thickBot="1" x14ac:dyDescent="0.3">
      <c r="A366" s="912" t="s">
        <v>487</v>
      </c>
      <c r="B366" s="914">
        <v>549.81888270324475</v>
      </c>
      <c r="C366" s="914">
        <v>596.84759521484398</v>
      </c>
      <c r="D366" s="914">
        <v>708.90187629235277</v>
      </c>
      <c r="E366" s="914">
        <v>406.38667462869051</v>
      </c>
      <c r="F366" s="914">
        <v>447.16295305198071</v>
      </c>
      <c r="G366" s="914">
        <v>542.65678113398656</v>
      </c>
      <c r="H366" s="914">
        <v>604.00010341071868</v>
      </c>
      <c r="I366" s="914">
        <v>661.06483901631009</v>
      </c>
      <c r="J366" s="914">
        <v>714.35686387994281</v>
      </c>
      <c r="K366" s="914">
        <v>764.16924059162022</v>
      </c>
      <c r="L366" s="914">
        <v>805.13331786340132</v>
      </c>
      <c r="M366" s="914">
        <v>850.39970498506295</v>
      </c>
      <c r="N366" s="914">
        <v>892.06783074940802</v>
      </c>
      <c r="O366" s="914">
        <v>929.55049698437085</v>
      </c>
      <c r="P366" s="914">
        <v>964.20679928883487</v>
      </c>
      <c r="Q366" s="914">
        <v>990.06920191633094</v>
      </c>
      <c r="R366" s="914">
        <v>1016.1557534719609</v>
      </c>
      <c r="S366" s="914">
        <v>1054.8326731961108</v>
      </c>
      <c r="T366" s="914">
        <v>1091.2729592511287</v>
      </c>
      <c r="U366" s="914">
        <v>1118.0349113947391</v>
      </c>
      <c r="V366" s="914">
        <v>1161.085260138974</v>
      </c>
      <c r="W366" s="914">
        <v>1181.9301954596156</v>
      </c>
      <c r="X366" s="914">
        <v>1232.4560893451367</v>
      </c>
      <c r="Y366" s="914">
        <v>1290.1595195386233</v>
      </c>
      <c r="Z366" s="914">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5">
      <c r="A367" s="912" t="s">
        <v>516</v>
      </c>
      <c r="B367" s="914">
        <v>1151.0859678463546</v>
      </c>
      <c r="C367" s="914">
        <v>1235.02709960938</v>
      </c>
      <c r="D367" s="914">
        <v>1405.9186066996403</v>
      </c>
      <c r="E367" s="914">
        <v>993.73713091111074</v>
      </c>
      <c r="F367" s="914">
        <v>991.07514876947641</v>
      </c>
      <c r="G367" s="914">
        <v>1131.7003147881212</v>
      </c>
      <c r="H367" s="914">
        <v>1221.038560105055</v>
      </c>
      <c r="I367" s="914">
        <v>1307.1547250090439</v>
      </c>
      <c r="J367" s="914">
        <v>1389.9450601614428</v>
      </c>
      <c r="K367" s="914">
        <v>1469.7993497059265</v>
      </c>
      <c r="L367" s="914">
        <v>1544.0421618496678</v>
      </c>
      <c r="M367" s="914">
        <v>1624.4209976542634</v>
      </c>
      <c r="N367" s="914">
        <v>1703.8854780296228</v>
      </c>
      <c r="O367" s="914">
        <v>1776.9868521708881</v>
      </c>
      <c r="P367" s="914">
        <v>1854.0622550605767</v>
      </c>
      <c r="Q367" s="914">
        <v>1917.5679054742993</v>
      </c>
      <c r="R367" s="914">
        <v>1978.3954213642144</v>
      </c>
      <c r="S367" s="914">
        <v>2044.5889248527621</v>
      </c>
      <c r="T367" s="914">
        <v>2112.8417777408945</v>
      </c>
      <c r="U367" s="914">
        <v>2163.9271994062915</v>
      </c>
      <c r="V367" s="914">
        <v>2241.4031618089139</v>
      </c>
      <c r="W367" s="914">
        <v>2303.558949985179</v>
      </c>
      <c r="X367" s="914">
        <v>2401.4612280803153</v>
      </c>
      <c r="Y367" s="914">
        <v>2501.5410135735665</v>
      </c>
      <c r="Z367" s="914">
        <v>2576.2560875804752</v>
      </c>
    </row>
    <row r="368" spans="1:70" ht="13" thickBot="1" x14ac:dyDescent="0.3">
      <c r="A368" s="912" t="s">
        <v>629</v>
      </c>
      <c r="B368" s="914">
        <v>3.1288517293273019E-2</v>
      </c>
      <c r="C368" s="914">
        <v>4.0145620703697205E-2</v>
      </c>
      <c r="D368" s="914">
        <v>3.8515830891447944E-2</v>
      </c>
      <c r="E368" s="914">
        <v>2.6303627333810531E-2</v>
      </c>
      <c r="F368" s="914">
        <v>5.6047443014104255E-2</v>
      </c>
      <c r="G368" s="914">
        <v>7.1119337023784479E-2</v>
      </c>
      <c r="H368" s="914">
        <v>8.8428224145552056E-2</v>
      </c>
      <c r="I368" s="914">
        <v>0.10266115711707489</v>
      </c>
      <c r="J368" s="914">
        <v>0.12491143634290662</v>
      </c>
      <c r="K368" s="914">
        <v>2.2293869286864165</v>
      </c>
      <c r="L368" s="914">
        <v>5.6123954184121017</v>
      </c>
      <c r="M368" s="914">
        <v>7.9566359351664051</v>
      </c>
      <c r="N368" s="914">
        <v>12.724991751969894</v>
      </c>
      <c r="O368" s="914">
        <v>19.495647700796784</v>
      </c>
      <c r="P368" s="914">
        <v>28.06371652814466</v>
      </c>
      <c r="Q368" s="914">
        <v>33.841758141316177</v>
      </c>
      <c r="R368" s="914">
        <v>47.452021910622882</v>
      </c>
      <c r="S368" s="914">
        <v>48.667640008057987</v>
      </c>
      <c r="T368" s="914">
        <v>47.767774332439714</v>
      </c>
      <c r="U368" s="914">
        <v>50.842459413568172</v>
      </c>
      <c r="V368" s="914">
        <v>54.12672288853372</v>
      </c>
      <c r="W368" s="914">
        <v>67.349033728123644</v>
      </c>
      <c r="X368" s="914">
        <v>72.870357898145016</v>
      </c>
      <c r="Y368" s="914">
        <v>82.472655922369356</v>
      </c>
      <c r="Z368" s="914">
        <v>85.74303480046683</v>
      </c>
    </row>
    <row r="369" spans="1:70" ht="13" thickBot="1" x14ac:dyDescent="0.3">
      <c r="A369" s="912" t="s">
        <v>518</v>
      </c>
      <c r="B369" s="914">
        <v>1151.1172301979784</v>
      </c>
      <c r="C369" s="914">
        <v>1235.06726074219</v>
      </c>
      <c r="D369" s="914">
        <v>1405.957155546361</v>
      </c>
      <c r="E369" s="914">
        <v>993.76346133595302</v>
      </c>
      <c r="F369" s="914">
        <v>991.13120249830877</v>
      </c>
      <c r="G369" s="914">
        <v>1131.7714475332546</v>
      </c>
      <c r="H369" s="914">
        <v>1221.1269368042056</v>
      </c>
      <c r="I369" s="914">
        <v>1307.2573637523753</v>
      </c>
      <c r="J369" s="914">
        <v>1390.0699789505047</v>
      </c>
      <c r="K369" s="914">
        <v>1472.0286986549243</v>
      </c>
      <c r="L369" s="914">
        <v>1549.6545225531884</v>
      </c>
      <c r="M369" s="914">
        <v>1632.3776685401217</v>
      </c>
      <c r="N369" s="914">
        <v>1716.6105344121597</v>
      </c>
      <c r="O369" s="914">
        <v>1796.4824632434897</v>
      </c>
      <c r="P369" s="914">
        <v>1882.1259667447755</v>
      </c>
      <c r="Q369" s="914">
        <v>1951.4096785174786</v>
      </c>
      <c r="R369" s="914">
        <v>2025.8475094892897</v>
      </c>
      <c r="S369" s="914">
        <v>2093.2565961526161</v>
      </c>
      <c r="T369" s="914">
        <v>2160.609578738799</v>
      </c>
      <c r="U369" s="914">
        <v>2214.7697023873047</v>
      </c>
      <c r="V369" s="914">
        <v>2295.5298624598372</v>
      </c>
      <c r="W369" s="914">
        <v>2370.9079156203875</v>
      </c>
      <c r="X369" s="914">
        <v>2474.3315685955818</v>
      </c>
      <c r="Y369" s="914">
        <v>2584.0136458368329</v>
      </c>
      <c r="Z369" s="914">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 thickBot="1" x14ac:dyDescent="0.3">
      <c r="A373" s="912" t="s">
        <v>630</v>
      </c>
    </row>
    <row r="374" spans="1:70" ht="13" thickBot="1" x14ac:dyDescent="0.3">
      <c r="A374" s="912"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 thickBot="1" x14ac:dyDescent="0.3">
      <c r="A375" s="912" t="s">
        <v>632</v>
      </c>
    </row>
    <row r="376" spans="1:70" ht="13" thickBot="1" x14ac:dyDescent="0.3">
      <c r="A376" s="912"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5">
      <c r="A377" s="912" t="s">
        <v>729</v>
      </c>
    </row>
    <row r="378" spans="1:70" x14ac:dyDescent="0.25">
      <c r="A378" s="912" t="s">
        <v>649</v>
      </c>
    </row>
    <row r="379" spans="1:70" ht="13" thickBot="1" x14ac:dyDescent="0.3">
      <c r="A379" s="912" t="s">
        <v>650</v>
      </c>
    </row>
    <row r="380" spans="1:70" ht="13" thickBot="1" x14ac:dyDescent="0.3">
      <c r="A380" s="912"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5">
      <c r="A381" s="912" t="s">
        <v>652</v>
      </c>
    </row>
    <row r="382" spans="1:70" x14ac:dyDescent="0.25">
      <c r="A382" s="912" t="s">
        <v>653</v>
      </c>
    </row>
    <row r="383" spans="1:70" x14ac:dyDescent="0.25">
      <c r="A383" s="912" t="s">
        <v>654</v>
      </c>
    </row>
    <row r="384" spans="1:70" x14ac:dyDescent="0.25">
      <c r="A384" s="912" t="s">
        <v>545</v>
      </c>
    </row>
    <row r="385" spans="1:70" x14ac:dyDescent="0.25">
      <c r="A385" s="912" t="s">
        <v>730</v>
      </c>
    </row>
    <row r="386" spans="1:70" x14ac:dyDescent="0.25">
      <c r="A386" s="912" t="s">
        <v>731</v>
      </c>
    </row>
    <row r="387" spans="1:70" x14ac:dyDescent="0.25">
      <c r="A387" s="912" t="s">
        <v>732</v>
      </c>
    </row>
    <row r="388" spans="1:70" x14ac:dyDescent="0.25">
      <c r="A388" s="912" t="s">
        <v>733</v>
      </c>
    </row>
    <row r="389" spans="1:70" x14ac:dyDescent="0.25">
      <c r="A389" s="912" t="s">
        <v>734</v>
      </c>
    </row>
    <row r="390" spans="1:70" x14ac:dyDescent="0.25">
      <c r="A390" s="912" t="s">
        <v>735</v>
      </c>
    </row>
    <row r="391" spans="1:70" ht="13" thickBot="1" x14ac:dyDescent="0.3">
      <c r="A391" s="912" t="s">
        <v>736</v>
      </c>
    </row>
    <row r="392" spans="1:70" ht="13" thickBot="1" x14ac:dyDescent="0.3">
      <c r="A392" s="912"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 thickBot="1" x14ac:dyDescent="0.3">
      <c r="A393" s="912"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5">
      <c r="A394" s="912" t="s">
        <v>739</v>
      </c>
    </row>
    <row r="395" spans="1:70" x14ac:dyDescent="0.25">
      <c r="A395" s="912" t="s">
        <v>740</v>
      </c>
    </row>
    <row r="396" spans="1:70" x14ac:dyDescent="0.25">
      <c r="A396" s="912" t="s">
        <v>741</v>
      </c>
    </row>
    <row r="397" spans="1:70" x14ac:dyDescent="0.25">
      <c r="A397" s="912" t="s">
        <v>742</v>
      </c>
    </row>
    <row r="403" spans="1:26" x14ac:dyDescent="0.25">
      <c r="A403" s="306" t="s">
        <v>863</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5">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5">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5">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5">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5">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5">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5">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5">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5">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5">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5">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5">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5">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5">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5">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5">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5">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5">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5">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5">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5">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5">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5">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5">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5">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5">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5">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5">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5">
      <c r="A432" s="306" t="s">
        <v>616</v>
      </c>
      <c r="B432" s="306"/>
      <c r="C432" s="306"/>
      <c r="D432" s="306" t="s">
        <v>1082</v>
      </c>
      <c r="E432" s="306" t="s">
        <v>1082</v>
      </c>
      <c r="F432" s="306" t="s">
        <v>1082</v>
      </c>
      <c r="G432" s="306" t="s">
        <v>1082</v>
      </c>
      <c r="H432" s="306" t="s">
        <v>1082</v>
      </c>
      <c r="I432" s="306" t="s">
        <v>1082</v>
      </c>
      <c r="J432" s="306" t="s">
        <v>1082</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5">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5">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5">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5">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5">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5">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5">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5">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5">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5">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5">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5">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5">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5">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5">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5">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5">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5">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5">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5">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5">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5">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5">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5">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5">
      <c r="A458" s="306" t="s">
        <v>616</v>
      </c>
      <c r="B458" s="306"/>
      <c r="C458" s="306"/>
      <c r="D458" s="306" t="s">
        <v>1082</v>
      </c>
      <c r="E458" s="306" t="s">
        <v>1082</v>
      </c>
      <c r="F458" s="306" t="s">
        <v>1082</v>
      </c>
      <c r="G458" s="306" t="s">
        <v>1082</v>
      </c>
      <c r="H458" s="306" t="s">
        <v>1082</v>
      </c>
      <c r="I458" s="306" t="s">
        <v>1082</v>
      </c>
      <c r="J458" s="306" t="s">
        <v>1082</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5">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5">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5">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5">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5">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5">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5">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5">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5">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5">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5">
      <c r="A469" s="293" t="s">
        <v>1081</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 thickBot="1" x14ac:dyDescent="0.3">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 thickBot="1" x14ac:dyDescent="0.3">
      <c r="A471" s="306" t="s">
        <v>976</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 thickBot="1" x14ac:dyDescent="0.3">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5">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5">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5">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5">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5">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5">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 thickBot="1" x14ac:dyDescent="0.3">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 thickBot="1" x14ac:dyDescent="0.3">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5">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 thickBot="1" x14ac:dyDescent="0.3">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 thickBot="1" x14ac:dyDescent="0.3">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5">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5">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5">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 thickBot="1" x14ac:dyDescent="0.3">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 thickBot="1" x14ac:dyDescent="0.3">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 thickBot="1" x14ac:dyDescent="0.3">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 thickBot="1" x14ac:dyDescent="0.3">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5">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5">
      <c r="A492" s="306" t="s">
        <v>926</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 thickBot="1" x14ac:dyDescent="0.3">
      <c r="A493" s="306" t="s">
        <v>927</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 thickBot="1" x14ac:dyDescent="0.3">
      <c r="A494" s="306" t="s">
        <v>949</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5">
      <c r="A495" s="306" t="s">
        <v>950</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5">
      <c r="A496" s="306" t="s">
        <v>975</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 thickBot="1" x14ac:dyDescent="0.3"/>
    <row r="500" spans="1:70" ht="13" x14ac:dyDescent="0.3">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5">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5">
      <c r="A502" s="249" t="s">
        <v>859</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5">
      <c r="A503" s="249" t="s">
        <v>860</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5">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 thickBot="1" x14ac:dyDescent="0.3">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 thickBot="1" x14ac:dyDescent="0.3">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 thickBot="1" x14ac:dyDescent="0.3">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5">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5">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5">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5">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5">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5">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5">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5">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5">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5">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5">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5">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5">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5">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5">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5">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5">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5">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5">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5">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5">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5">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 thickBot="1" x14ac:dyDescent="0.3">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 thickBot="1" x14ac:dyDescent="0.3">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5">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5">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5">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5">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5">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5">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5">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5">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5">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5">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5">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5">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5">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5">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5">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5">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5">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5">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5">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5">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5">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5">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5">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5">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5">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5">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5">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5">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5">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5">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5">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5">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5">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5">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5">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5">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5">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5">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5">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5">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5">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5">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5">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5">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5">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5">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5">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5">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5">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5">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5">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5">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5">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5">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5">
      <c r="A586" s="293" t="s">
        <v>1081</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5">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5">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5">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5">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5">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5">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5">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5">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5">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5">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5">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5">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5">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5">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5">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5">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5">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5">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5">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5">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5">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5">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5">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5">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5">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5">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5">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 thickBot="1" x14ac:dyDescent="0.3">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5">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5">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 thickBot="1" x14ac:dyDescent="0.3">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ht="13" x14ac:dyDescent="0.3">
      <c r="A618" s="256" t="s">
        <v>561</v>
      </c>
      <c r="B618" s="257"/>
      <c r="C618" s="257" t="s">
        <v>861</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ht="13" x14ac:dyDescent="0.3">
      <c r="A619" s="258" t="s">
        <v>562</v>
      </c>
      <c r="B619" s="250"/>
      <c r="C619" s="1656" t="s">
        <v>866</v>
      </c>
      <c r="D619" s="1656"/>
      <c r="E619" s="1656"/>
      <c r="F619" s="1656"/>
      <c r="G619" s="1656"/>
      <c r="H619" s="1656"/>
      <c r="I619" s="1656"/>
      <c r="J619" s="1656"/>
      <c r="K619" s="1656"/>
      <c r="L619" s="1656"/>
      <c r="M619" s="1656"/>
      <c r="N619" s="1656"/>
      <c r="O619" s="1656"/>
      <c r="P619" s="1656"/>
      <c r="Q619" s="1656"/>
      <c r="R619" s="1656"/>
      <c r="S619" s="1656"/>
      <c r="T619" s="1656"/>
      <c r="U619" s="1656"/>
      <c r="V619" s="1656"/>
      <c r="W619" s="1656"/>
      <c r="X619" s="1656"/>
      <c r="Y619" s="1656"/>
    </row>
    <row r="620" spans="1:26" x14ac:dyDescent="0.25">
      <c r="A620" s="249" t="s">
        <v>563</v>
      </c>
      <c r="B620" s="250"/>
      <c r="C620" s="1656" t="s">
        <v>867</v>
      </c>
      <c r="D620" s="1656"/>
      <c r="E620" s="1656"/>
      <c r="F620" s="1656"/>
      <c r="G620" s="1656"/>
      <c r="H620" s="1656"/>
      <c r="I620" s="1656"/>
      <c r="J620" s="1656"/>
      <c r="K620" s="1656"/>
      <c r="L620" s="1656"/>
      <c r="M620" s="1656"/>
      <c r="N620" s="1656"/>
      <c r="O620" s="1656"/>
      <c r="P620" s="1656"/>
      <c r="Q620" s="1656"/>
      <c r="R620" s="1656"/>
      <c r="S620" s="1656"/>
      <c r="T620" s="1656"/>
      <c r="U620" s="1656"/>
      <c r="V620" s="1656"/>
      <c r="W620" s="1656"/>
      <c r="X620" s="1656"/>
      <c r="Y620" s="1656"/>
    </row>
    <row r="621" spans="1:26" x14ac:dyDescent="0.25">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5">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5">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5">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5">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5">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5">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5">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5">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5">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5">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5">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5">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5">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5">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5">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5">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5">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5">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5">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5">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5">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5">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5">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5">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5">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5">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5">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5">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5">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5">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5">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5">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5">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5">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5">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5">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5">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5">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5">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5">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5">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5">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5">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5">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5">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5">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5">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5">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5">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5">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5">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5">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5">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5">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5">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5">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5">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5">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5">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5">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5">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5">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5">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5">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5">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5">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5">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5">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5">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5">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5">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5">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5">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5">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5">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5">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5">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5">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5">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5">
      <c r="A701" s="302" t="s">
        <v>1081</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5">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5">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5">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5">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5">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5">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5">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5">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5">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5">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5">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5">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5">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5">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5">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5">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5">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5">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5">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5">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5">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5">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5">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5">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5">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5">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5">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5">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5">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 thickBot="1" x14ac:dyDescent="0.3">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5">
      <c r="A732" s="1655" t="s">
        <v>437</v>
      </c>
      <c r="B732" s="1655"/>
      <c r="C732" s="1655"/>
      <c r="D732" s="1655"/>
      <c r="E732" s="1655"/>
      <c r="F732" s="1655"/>
      <c r="G732" s="1655"/>
      <c r="H732" s="1655"/>
      <c r="I732" s="1655"/>
      <c r="J732" s="1655"/>
      <c r="K732" s="1655"/>
      <c r="L732" s="1655"/>
      <c r="M732" s="1655"/>
      <c r="N732" s="295"/>
      <c r="O732" s="295"/>
      <c r="P732" s="295"/>
      <c r="Q732" s="295"/>
      <c r="R732" s="295"/>
      <c r="S732" s="295"/>
      <c r="T732" s="295"/>
      <c r="U732" s="295"/>
      <c r="V732" s="295"/>
      <c r="W732" s="295"/>
      <c r="X732" s="295"/>
      <c r="Y732" s="295"/>
    </row>
    <row r="733" spans="1:25" x14ac:dyDescent="0.25">
      <c r="A733" s="295" t="s">
        <v>1089</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3.5" thickBot="1" x14ac:dyDescent="0.35">
      <c r="A736" s="1653" t="s">
        <v>565</v>
      </c>
      <c r="B736" s="1654"/>
      <c r="C736" s="1654"/>
      <c r="D736" s="260"/>
      <c r="E736" s="260"/>
      <c r="F736" s="260"/>
      <c r="G736" s="260"/>
      <c r="H736" s="260"/>
      <c r="I736" s="260"/>
      <c r="J736" s="260"/>
    </row>
    <row r="737" spans="1:10" ht="50.5" thickTop="1" x14ac:dyDescent="0.25">
      <c r="A737" s="261"/>
      <c r="B737" s="262" t="s">
        <v>566</v>
      </c>
      <c r="C737" s="262" t="s">
        <v>567</v>
      </c>
      <c r="D737" s="262" t="s">
        <v>568</v>
      </c>
      <c r="E737" s="262" t="s">
        <v>590</v>
      </c>
      <c r="F737" s="263"/>
      <c r="G737" s="263"/>
      <c r="H737" s="263"/>
      <c r="I737" s="263"/>
      <c r="J737" s="264"/>
    </row>
    <row r="738" spans="1:10" x14ac:dyDescent="0.25">
      <c r="A738" s="265"/>
      <c r="B738" s="266"/>
      <c r="C738" s="266"/>
      <c r="D738" s="266"/>
      <c r="E738" s="266"/>
      <c r="F738" s="266"/>
      <c r="G738" s="266"/>
      <c r="H738" s="266"/>
      <c r="I738" s="266"/>
      <c r="J738" s="267"/>
    </row>
    <row r="739" spans="1:10" x14ac:dyDescent="0.25">
      <c r="A739" s="265"/>
      <c r="B739" s="266"/>
      <c r="C739" s="266"/>
      <c r="D739" s="266"/>
      <c r="E739" s="266"/>
      <c r="F739" s="266"/>
      <c r="G739" s="266"/>
      <c r="H739" s="266"/>
      <c r="I739" s="266"/>
      <c r="J739" s="267"/>
    </row>
    <row r="740" spans="1:10" x14ac:dyDescent="0.25">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5">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5">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5">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5">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5">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5">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5">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5">
      <c r="A748" s="265"/>
      <c r="B748" s="266"/>
      <c r="C748" s="266"/>
      <c r="D748" s="266"/>
      <c r="E748" s="266"/>
      <c r="F748" s="266"/>
      <c r="G748" s="266"/>
      <c r="H748" s="266"/>
      <c r="I748" s="266"/>
      <c r="J748" s="267"/>
    </row>
    <row r="749" spans="1:10" x14ac:dyDescent="0.25">
      <c r="A749" s="265"/>
      <c r="B749" s="266"/>
      <c r="C749" s="266"/>
      <c r="D749" s="266"/>
      <c r="E749" s="1652" t="s">
        <v>576</v>
      </c>
      <c r="F749" s="1652"/>
      <c r="G749" s="1652"/>
      <c r="H749" s="1652"/>
      <c r="I749" s="1652"/>
      <c r="J749" s="268"/>
    </row>
    <row r="750" spans="1:10" x14ac:dyDescent="0.25">
      <c r="A750" s="265" t="s">
        <v>577</v>
      </c>
      <c r="B750" s="266"/>
      <c r="C750" s="266" t="s">
        <v>578</v>
      </c>
      <c r="D750" s="266" t="s">
        <v>578</v>
      </c>
      <c r="E750" s="266"/>
      <c r="F750" s="266"/>
      <c r="G750" s="266"/>
      <c r="H750" s="266"/>
      <c r="I750" s="266"/>
      <c r="J750" s="267"/>
    </row>
    <row r="751" spans="1:10" x14ac:dyDescent="0.25">
      <c r="A751" s="265"/>
      <c r="B751" s="266" t="s">
        <v>1049</v>
      </c>
      <c r="C751" s="266">
        <v>2000</v>
      </c>
      <c r="D751" s="266">
        <v>2005</v>
      </c>
      <c r="E751" s="266">
        <v>2020</v>
      </c>
      <c r="F751" s="266">
        <v>2035</v>
      </c>
      <c r="G751" s="266">
        <v>2050</v>
      </c>
      <c r="H751" s="266">
        <v>2065</v>
      </c>
      <c r="I751" s="266">
        <v>2080</v>
      </c>
      <c r="J751" s="267"/>
    </row>
    <row r="752" spans="1:10" x14ac:dyDescent="0.25">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5">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5">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5">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5">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5">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5">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5">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5">
      <c r="A760" s="265"/>
      <c r="B760" s="266"/>
      <c r="C760" s="266"/>
      <c r="D760" s="266"/>
      <c r="E760" s="266"/>
      <c r="F760" s="266"/>
      <c r="G760" s="266"/>
      <c r="H760" s="266"/>
      <c r="I760" s="266"/>
      <c r="J760" s="267"/>
    </row>
    <row r="761" spans="1:10" ht="37.5" x14ac:dyDescent="0.25">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 thickBot="1" x14ac:dyDescent="0.3">
      <c r="A762" s="270"/>
      <c r="B762" s="271">
        <v>17.2</v>
      </c>
      <c r="C762" s="271" t="s">
        <v>586</v>
      </c>
      <c r="D762" s="271"/>
      <c r="E762" s="271"/>
      <c r="F762" s="271"/>
      <c r="G762" s="271"/>
      <c r="H762" s="271"/>
      <c r="I762" s="271"/>
      <c r="J762" s="272"/>
    </row>
    <row r="763" spans="1:10" ht="13" thickTop="1" x14ac:dyDescent="0.25"/>
    <row r="764" spans="1:10" x14ac:dyDescent="0.25">
      <c r="A764" s="463" t="s">
        <v>813</v>
      </c>
    </row>
    <row r="765" spans="1:10" x14ac:dyDescent="0.25">
      <c r="A765" t="s">
        <v>807</v>
      </c>
    </row>
    <row r="766" spans="1:10" x14ac:dyDescent="0.25">
      <c r="A766" t="s">
        <v>808</v>
      </c>
    </row>
    <row r="767" spans="1:10" x14ac:dyDescent="0.25">
      <c r="A767" t="s">
        <v>809</v>
      </c>
    </row>
    <row r="769" spans="1:27" x14ac:dyDescent="0.25">
      <c r="A769" t="s">
        <v>447</v>
      </c>
    </row>
    <row r="770" spans="1:27" x14ac:dyDescent="0.25">
      <c r="A770" t="s">
        <v>722</v>
      </c>
    </row>
    <row r="773" spans="1:27" x14ac:dyDescent="0.25">
      <c r="AA773" t="s">
        <v>810</v>
      </c>
    </row>
    <row r="774" spans="1:27" x14ac:dyDescent="0.25">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5">
      <c r="A777" t="s">
        <v>473</v>
      </c>
    </row>
    <row r="778" spans="1:27" x14ac:dyDescent="0.25">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480</v>
      </c>
    </row>
    <row r="784" spans="1:27" x14ac:dyDescent="0.25">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612</v>
      </c>
    </row>
    <row r="791" spans="1:27" x14ac:dyDescent="0.25">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5">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487</v>
      </c>
    </row>
    <row r="801" spans="1:27" x14ac:dyDescent="0.25">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623</v>
      </c>
    </row>
    <row r="811" spans="1:27" x14ac:dyDescent="0.25">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625</v>
      </c>
    </row>
    <row r="817" spans="1:27" x14ac:dyDescent="0.25">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5">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513</v>
      </c>
    </row>
    <row r="830" spans="1:27" x14ac:dyDescent="0.25">
      <c r="A830" t="s">
        <v>725</v>
      </c>
    </row>
    <row r="831" spans="1:27" x14ac:dyDescent="0.25">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726</v>
      </c>
    </row>
    <row r="841" spans="1:27" x14ac:dyDescent="0.25">
      <c r="A841" t="s">
        <v>473</v>
      </c>
    </row>
    <row r="842" spans="1:27" x14ac:dyDescent="0.25">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480</v>
      </c>
    </row>
    <row r="848" spans="1:27" x14ac:dyDescent="0.25">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612</v>
      </c>
    </row>
    <row r="855" spans="1:27" x14ac:dyDescent="0.25">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5">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5">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623</v>
      </c>
    </row>
    <row r="875" spans="1:27" x14ac:dyDescent="0.25">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625</v>
      </c>
    </row>
    <row r="881" spans="1:27" x14ac:dyDescent="0.25">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5">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513</v>
      </c>
    </row>
    <row r="894" spans="1:27" x14ac:dyDescent="0.25">
      <c r="A894" t="s">
        <v>727</v>
      </c>
    </row>
    <row r="895" spans="1:27" x14ac:dyDescent="0.25">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630</v>
      </c>
    </row>
    <row r="906" spans="1:27" x14ac:dyDescent="0.25">
      <c r="A906" t="s">
        <v>631</v>
      </c>
    </row>
    <row r="907" spans="1:27" x14ac:dyDescent="0.25">
      <c r="A907" t="s">
        <v>632</v>
      </c>
    </row>
    <row r="908" spans="1:27" x14ac:dyDescent="0.25">
      <c r="A908" t="s">
        <v>728</v>
      </c>
    </row>
    <row r="909" spans="1:27" x14ac:dyDescent="0.25">
      <c r="A909" t="s">
        <v>729</v>
      </c>
    </row>
    <row r="910" spans="1:27" x14ac:dyDescent="0.25">
      <c r="A910" t="s">
        <v>649</v>
      </c>
    </row>
    <row r="911" spans="1:27" x14ac:dyDescent="0.25">
      <c r="A911" t="s">
        <v>650</v>
      </c>
    </row>
    <row r="912" spans="1:27" x14ac:dyDescent="0.25">
      <c r="A912" t="s">
        <v>651</v>
      </c>
    </row>
    <row r="913" spans="1:1" x14ac:dyDescent="0.25">
      <c r="A913" t="s">
        <v>652</v>
      </c>
    </row>
    <row r="914" spans="1:1" x14ac:dyDescent="0.25">
      <c r="A914" t="s">
        <v>653</v>
      </c>
    </row>
    <row r="915" spans="1:1" x14ac:dyDescent="0.25">
      <c r="A915" t="s">
        <v>654</v>
      </c>
    </row>
    <row r="916" spans="1:1" x14ac:dyDescent="0.25">
      <c r="A916" t="s">
        <v>545</v>
      </c>
    </row>
    <row r="917" spans="1:1" x14ac:dyDescent="0.25">
      <c r="A917" t="s">
        <v>730</v>
      </c>
    </row>
    <row r="918" spans="1:1" x14ac:dyDescent="0.25">
      <c r="A918" t="s">
        <v>731</v>
      </c>
    </row>
    <row r="919" spans="1:1" x14ac:dyDescent="0.25">
      <c r="A919" t="s">
        <v>732</v>
      </c>
    </row>
    <row r="920" spans="1:1" x14ac:dyDescent="0.25">
      <c r="A920" t="s">
        <v>733</v>
      </c>
    </row>
    <row r="921" spans="1:1" x14ac:dyDescent="0.25">
      <c r="A921" t="s">
        <v>734</v>
      </c>
    </row>
    <row r="922" spans="1:1" x14ac:dyDescent="0.25">
      <c r="A922" t="s">
        <v>735</v>
      </c>
    </row>
    <row r="923" spans="1:1" x14ac:dyDescent="0.25">
      <c r="A923" t="s">
        <v>736</v>
      </c>
    </row>
    <row r="924" spans="1:1" x14ac:dyDescent="0.25">
      <c r="A924" t="s">
        <v>737</v>
      </c>
    </row>
    <row r="925" spans="1:1" x14ac:dyDescent="0.25">
      <c r="A925" t="s">
        <v>738</v>
      </c>
    </row>
    <row r="926" spans="1:1" x14ac:dyDescent="0.25">
      <c r="A926" t="s">
        <v>739</v>
      </c>
    </row>
    <row r="927" spans="1:1" x14ac:dyDescent="0.25">
      <c r="A927" t="s">
        <v>811</v>
      </c>
    </row>
    <row r="928" spans="1:1" x14ac:dyDescent="0.25">
      <c r="A928" t="s">
        <v>741</v>
      </c>
    </row>
    <row r="929" spans="1:1" x14ac:dyDescent="0.25">
      <c r="A929" t="s">
        <v>812</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94" sqref="D94:E118"/>
    </sheetView>
  </sheetViews>
  <sheetFormatPr defaultRowHeight="12.5" x14ac:dyDescent="0.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17.1796875" customWidth="1"/>
    <col min="13" max="14" width="18.7265625" customWidth="1"/>
    <col min="15" max="15" width="8.54296875" customWidth="1"/>
    <col min="16" max="18" width="18.7265625" customWidth="1"/>
    <col min="19" max="20" width="13.453125" customWidth="1"/>
    <col min="23" max="23" width="12.453125" bestFit="1" customWidth="1"/>
  </cols>
  <sheetData>
    <row r="1" spans="1:23" ht="14" x14ac:dyDescent="0.3">
      <c r="A1" s="539" t="s">
        <v>301</v>
      </c>
      <c r="B1" s="540"/>
      <c r="C1" s="540"/>
      <c r="D1" s="541"/>
      <c r="E1" s="540"/>
      <c r="F1" s="540"/>
      <c r="G1" s="540"/>
      <c r="H1" s="540"/>
      <c r="I1" s="540"/>
      <c r="J1" s="540"/>
      <c r="K1" s="540"/>
    </row>
    <row r="2" spans="1:23" ht="12.75" customHeight="1" x14ac:dyDescent="0.35">
      <c r="A2" s="1702" t="s">
        <v>868</v>
      </c>
      <c r="B2" s="1703"/>
      <c r="C2" s="1703"/>
      <c r="D2" s="1703"/>
      <c r="E2" s="1703"/>
      <c r="F2" s="1703"/>
      <c r="G2" s="1703"/>
      <c r="H2" s="1703"/>
      <c r="I2" s="1703"/>
      <c r="J2" s="1703"/>
      <c r="K2" s="1703"/>
    </row>
    <row r="3" spans="1:23" ht="13" thickBot="1" x14ac:dyDescent="0.3">
      <c r="A3" s="1704"/>
      <c r="B3" s="1704"/>
      <c r="C3" s="1704"/>
      <c r="D3" s="1704"/>
      <c r="E3" s="1704"/>
      <c r="F3" s="1704"/>
      <c r="G3" s="1704"/>
      <c r="H3" s="1704"/>
      <c r="I3" s="1704"/>
      <c r="J3" s="1704"/>
      <c r="K3" s="1704"/>
    </row>
    <row r="4" spans="1:23" ht="14" x14ac:dyDescent="0.3">
      <c r="A4" s="3" t="s">
        <v>302</v>
      </c>
      <c r="B4" s="4"/>
      <c r="C4" s="1705" t="s">
        <v>303</v>
      </c>
      <c r="D4" s="1705"/>
      <c r="E4" s="1705"/>
      <c r="F4" s="5"/>
      <c r="G4" s="1705" t="s">
        <v>304</v>
      </c>
      <c r="H4" s="1705"/>
      <c r="I4" s="1705"/>
      <c r="J4" s="5"/>
      <c r="K4" s="6" t="s">
        <v>305</v>
      </c>
      <c r="O4" s="2" t="s">
        <v>633</v>
      </c>
    </row>
    <row r="5" spans="1:23" ht="13" x14ac:dyDescent="0.3">
      <c r="A5" s="7" t="s">
        <v>869</v>
      </c>
      <c r="B5" s="8"/>
      <c r="C5" s="9" t="s">
        <v>870</v>
      </c>
      <c r="D5" s="9" t="s">
        <v>306</v>
      </c>
      <c r="E5" s="9" t="s">
        <v>307</v>
      </c>
      <c r="F5" s="9"/>
      <c r="G5" s="9" t="s">
        <v>870</v>
      </c>
      <c r="H5" s="9" t="s">
        <v>306</v>
      </c>
      <c r="I5" s="9" t="s">
        <v>307</v>
      </c>
      <c r="J5" s="9"/>
      <c r="K5" s="10" t="s">
        <v>871</v>
      </c>
      <c r="O5" s="1"/>
      <c r="P5" s="1"/>
      <c r="Q5" s="550"/>
      <c r="R5" s="550">
        <v>2005</v>
      </c>
      <c r="S5" s="550">
        <v>2007</v>
      </c>
      <c r="T5" s="550">
        <v>2005</v>
      </c>
      <c r="U5" s="550">
        <v>2007</v>
      </c>
      <c r="V5" s="549"/>
      <c r="W5" s="549"/>
    </row>
    <row r="6" spans="1:23" ht="13" x14ac:dyDescent="0.3">
      <c r="A6" s="15" t="s">
        <v>529</v>
      </c>
      <c r="B6" s="12"/>
      <c r="C6" s="13">
        <v>983</v>
      </c>
      <c r="D6" s="14">
        <f>C6/$K6*453.59</f>
        <v>20267.225909090906</v>
      </c>
      <c r="E6" s="542">
        <f>D6*1.05506/1000*2.2046</f>
        <v>47.141269049911173</v>
      </c>
      <c r="F6" s="13"/>
      <c r="G6" s="13">
        <v>1089</v>
      </c>
      <c r="H6" s="14">
        <f>G6/$K6*453.59</f>
        <v>22452.704999999998</v>
      </c>
      <c r="I6" s="542">
        <f>H6*1.05506/1000*2.2046</f>
        <v>52.224661236371581</v>
      </c>
      <c r="J6" s="13"/>
      <c r="K6" s="543">
        <v>22</v>
      </c>
      <c r="O6" s="1" t="s">
        <v>248</v>
      </c>
      <c r="P6" s="1" t="s">
        <v>1049</v>
      </c>
      <c r="Q6" s="550" t="s">
        <v>637</v>
      </c>
      <c r="R6" s="550" t="s">
        <v>636</v>
      </c>
      <c r="S6" s="550" t="s">
        <v>636</v>
      </c>
      <c r="T6" s="550" t="s">
        <v>1038</v>
      </c>
      <c r="U6" s="550" t="s">
        <v>1038</v>
      </c>
      <c r="V6" s="549"/>
      <c r="W6" s="549"/>
    </row>
    <row r="7" spans="1:23" ht="13" x14ac:dyDescent="0.25">
      <c r="A7" s="15" t="s">
        <v>872</v>
      </c>
      <c r="B7" s="16"/>
      <c r="C7" s="544">
        <v>290</v>
      </c>
      <c r="D7" s="17">
        <f t="shared" ref="D7:D40" si="0">C7/K7*453.59</f>
        <v>51682.028917177428</v>
      </c>
      <c r="E7" s="545">
        <f t="shared" ref="E7:E40" si="1">D7*1.05506/1000*2.2046</f>
        <v>120.21163829516094</v>
      </c>
      <c r="F7" s="18"/>
      <c r="G7" s="19">
        <v>343</v>
      </c>
      <c r="H7" s="17">
        <f t="shared" ref="H7:H40" si="2">G7/$K7*453.59</f>
        <v>61127.365236523648</v>
      </c>
      <c r="I7" s="545">
        <f t="shared" ref="I7:I40" si="3">H7*1.05506/1000*2.2046</f>
        <v>142.1813515008283</v>
      </c>
      <c r="J7" s="18"/>
      <c r="K7" s="546">
        <v>2.5451999999999999</v>
      </c>
      <c r="O7" t="s">
        <v>851</v>
      </c>
      <c r="P7" t="s">
        <v>638</v>
      </c>
      <c r="Q7" s="549">
        <v>930</v>
      </c>
      <c r="R7" s="549">
        <v>1027</v>
      </c>
      <c r="S7" s="549">
        <v>1030</v>
      </c>
      <c r="T7" s="549">
        <f>R7/Q7</f>
        <v>1.1043010752688172</v>
      </c>
      <c r="U7" s="549">
        <f>S7/Q7</f>
        <v>1.10752688172043</v>
      </c>
      <c r="V7" s="549"/>
      <c r="W7" s="549"/>
    </row>
    <row r="8" spans="1:23" ht="13" x14ac:dyDescent="0.25">
      <c r="A8" s="15" t="s">
        <v>873</v>
      </c>
      <c r="B8" s="16"/>
      <c r="C8" s="544">
        <v>1458</v>
      </c>
      <c r="D8" s="17">
        <f t="shared" si="0"/>
        <v>20162.628658536585</v>
      </c>
      <c r="E8" s="542">
        <f t="shared" si="1"/>
        <v>46.897977385211739</v>
      </c>
      <c r="F8" s="18"/>
      <c r="G8" s="19">
        <v>1584</v>
      </c>
      <c r="H8" s="17">
        <f t="shared" si="2"/>
        <v>21905.078048780488</v>
      </c>
      <c r="I8" s="542">
        <f t="shared" si="3"/>
        <v>50.950889011094226</v>
      </c>
      <c r="J8" s="18"/>
      <c r="K8" s="20">
        <v>32.799999999999997</v>
      </c>
      <c r="O8" t="s">
        <v>852</v>
      </c>
      <c r="P8" t="s">
        <v>638</v>
      </c>
      <c r="Q8" s="549">
        <v>930</v>
      </c>
      <c r="R8" s="549">
        <v>1027</v>
      </c>
      <c r="S8" s="549">
        <v>1030</v>
      </c>
      <c r="T8" s="549">
        <f>R8/Q8</f>
        <v>1.1043010752688172</v>
      </c>
      <c r="U8" s="549">
        <f>S8/Q8</f>
        <v>1.10752688172043</v>
      </c>
      <c r="V8" s="549"/>
      <c r="W8" s="549"/>
    </row>
    <row r="9" spans="1:23" ht="13" x14ac:dyDescent="0.25">
      <c r="A9" s="7" t="s">
        <v>308</v>
      </c>
      <c r="B9" s="8"/>
      <c r="C9" s="9" t="s">
        <v>309</v>
      </c>
      <c r="D9" s="9" t="s">
        <v>306</v>
      </c>
      <c r="E9" s="9" t="s">
        <v>307</v>
      </c>
      <c r="F9" s="9"/>
      <c r="G9" s="9" t="s">
        <v>309</v>
      </c>
      <c r="H9" s="9" t="s">
        <v>306</v>
      </c>
      <c r="I9" s="9" t="s">
        <v>307</v>
      </c>
      <c r="J9" s="9"/>
      <c r="K9" s="10" t="s">
        <v>310</v>
      </c>
      <c r="O9" t="s">
        <v>853</v>
      </c>
      <c r="P9" t="s">
        <v>638</v>
      </c>
      <c r="Q9" s="549">
        <v>930</v>
      </c>
      <c r="R9" s="549">
        <v>1027</v>
      </c>
      <c r="S9" s="549">
        <v>1030</v>
      </c>
      <c r="T9" s="549">
        <f>R9/Q9</f>
        <v>1.1043010752688172</v>
      </c>
      <c r="U9" s="549">
        <f>S9/Q9</f>
        <v>1.10752688172043</v>
      </c>
      <c r="V9" s="549"/>
      <c r="W9" s="549"/>
    </row>
    <row r="10" spans="1:23" ht="13" x14ac:dyDescent="0.25">
      <c r="A10" s="11" t="s">
        <v>874</v>
      </c>
      <c r="B10" s="16"/>
      <c r="C10" s="19">
        <v>129670</v>
      </c>
      <c r="D10" s="17">
        <f t="shared" si="0"/>
        <v>18351.642839313572</v>
      </c>
      <c r="E10" s="542">
        <f t="shared" si="1"/>
        <v>42.685651034654214</v>
      </c>
      <c r="F10" s="18"/>
      <c r="G10" s="19">
        <v>138350</v>
      </c>
      <c r="H10" s="17">
        <f t="shared" si="2"/>
        <v>19580.086271450855</v>
      </c>
      <c r="I10" s="542">
        <f t="shared" si="3"/>
        <v>45.542992370204438</v>
      </c>
      <c r="J10" s="18"/>
      <c r="K10" s="21">
        <v>3205</v>
      </c>
      <c r="O10" t="s">
        <v>928</v>
      </c>
      <c r="Q10" s="549"/>
      <c r="R10" s="549"/>
      <c r="S10" s="549"/>
      <c r="T10" s="549">
        <v>1</v>
      </c>
      <c r="U10" s="549">
        <v>1</v>
      </c>
      <c r="V10" s="549"/>
      <c r="W10" s="549"/>
    </row>
    <row r="11" spans="1:23" ht="13" x14ac:dyDescent="0.25">
      <c r="A11" s="11" t="s">
        <v>875</v>
      </c>
      <c r="B11" s="16"/>
      <c r="C11" s="19">
        <v>116090</v>
      </c>
      <c r="D11" s="17">
        <f t="shared" si="0"/>
        <v>18679.412238382403</v>
      </c>
      <c r="E11" s="542">
        <f t="shared" si="1"/>
        <v>43.448037830811678</v>
      </c>
      <c r="F11" s="18"/>
      <c r="G11" s="19">
        <v>124340</v>
      </c>
      <c r="H11" s="17">
        <f t="shared" si="2"/>
        <v>20006.874991131608</v>
      </c>
      <c r="I11" s="542">
        <f t="shared" si="3"/>
        <v>46.535696648144757</v>
      </c>
      <c r="J11" s="18"/>
      <c r="K11" s="21">
        <v>2819</v>
      </c>
      <c r="O11" t="s">
        <v>930</v>
      </c>
      <c r="Q11" s="549"/>
      <c r="R11" s="549"/>
      <c r="S11" s="549"/>
      <c r="T11" s="549">
        <v>1</v>
      </c>
      <c r="U11" s="549">
        <v>1</v>
      </c>
      <c r="V11" s="549"/>
      <c r="W11" s="549"/>
    </row>
    <row r="12" spans="1:23" ht="13" x14ac:dyDescent="0.25">
      <c r="A12" s="11" t="s">
        <v>876</v>
      </c>
      <c r="B12" s="16"/>
      <c r="C12" s="19">
        <v>113601.50975397152</v>
      </c>
      <c r="D12" s="17">
        <f t="shared" si="0"/>
        <v>18210.67343395916</v>
      </c>
      <c r="E12" s="542">
        <f t="shared" si="1"/>
        <v>42.357758273433376</v>
      </c>
      <c r="F12" s="18"/>
      <c r="G12" s="19">
        <v>121848.38036482914</v>
      </c>
      <c r="H12" s="17">
        <f t="shared" si="2"/>
        <v>19532.672304147527</v>
      </c>
      <c r="I12" s="542">
        <f t="shared" si="3"/>
        <v>45.432708180380153</v>
      </c>
      <c r="J12" s="18"/>
      <c r="K12" s="21">
        <v>2829.5773353012783</v>
      </c>
      <c r="O12" t="s">
        <v>854</v>
      </c>
      <c r="P12" t="s">
        <v>639</v>
      </c>
      <c r="Q12" s="551">
        <v>19546300</v>
      </c>
      <c r="R12" s="551">
        <v>20754000</v>
      </c>
      <c r="S12" s="551">
        <v>20231000</v>
      </c>
      <c r="T12" s="549">
        <f>R12/Q12</f>
        <v>1.0617866296946226</v>
      </c>
      <c r="U12" s="549">
        <f>S12/Q12</f>
        <v>1.0350296475547802</v>
      </c>
      <c r="V12" s="549"/>
      <c r="W12" s="549"/>
    </row>
    <row r="13" spans="1:23" ht="13" x14ac:dyDescent="0.25">
      <c r="A13" s="11" t="s">
        <v>877</v>
      </c>
      <c r="B13" s="16"/>
      <c r="C13" s="19">
        <v>113927.15396104372</v>
      </c>
      <c r="D13" s="17">
        <f t="shared" si="0"/>
        <v>18271.813278014368</v>
      </c>
      <c r="E13" s="542">
        <f t="shared" si="1"/>
        <v>42.499968650482714</v>
      </c>
      <c r="F13" s="18"/>
      <c r="G13" s="19">
        <v>122174.43408423416</v>
      </c>
      <c r="H13" s="17">
        <f t="shared" si="2"/>
        <v>19594.524828536756</v>
      </c>
      <c r="I13" s="542">
        <f t="shared" si="3"/>
        <v>45.576576241392928</v>
      </c>
      <c r="J13" s="18"/>
      <c r="K13" s="21">
        <v>2828.193183616288</v>
      </c>
      <c r="O13" t="s">
        <v>911</v>
      </c>
      <c r="P13" t="s">
        <v>640</v>
      </c>
      <c r="Q13" s="551">
        <v>128450</v>
      </c>
      <c r="R13" s="551">
        <f>5825000/42</f>
        <v>138690.47619047618</v>
      </c>
      <c r="S13" s="551">
        <f>5799000/42</f>
        <v>138071.42857142858</v>
      </c>
      <c r="T13" s="549">
        <f>R13/Q13</f>
        <v>1.0797234425105191</v>
      </c>
      <c r="U13" s="549">
        <f>S13/Q13</f>
        <v>1.0749040760718458</v>
      </c>
      <c r="V13" s="549"/>
      <c r="W13" s="549"/>
    </row>
    <row r="14" spans="1:23" ht="13" x14ac:dyDescent="0.25">
      <c r="A14" s="11" t="s">
        <v>878</v>
      </c>
      <c r="B14" s="16"/>
      <c r="C14" s="19">
        <v>128450</v>
      </c>
      <c r="D14" s="17">
        <f t="shared" si="0"/>
        <v>18397.106251973477</v>
      </c>
      <c r="E14" s="542">
        <f t="shared" si="1"/>
        <v>42.791398263097854</v>
      </c>
      <c r="F14" s="18"/>
      <c r="G14" s="19">
        <v>137380</v>
      </c>
      <c r="H14" s="17">
        <f t="shared" si="2"/>
        <v>19676.095421534574</v>
      </c>
      <c r="I14" s="542">
        <f t="shared" si="3"/>
        <v>45.766308239660439</v>
      </c>
      <c r="J14" s="18"/>
      <c r="K14" s="21">
        <v>3167</v>
      </c>
      <c r="O14" t="s">
        <v>909</v>
      </c>
      <c r="P14" t="s">
        <v>640</v>
      </c>
      <c r="Q14" s="551">
        <v>86668</v>
      </c>
      <c r="R14" s="551">
        <v>94706</v>
      </c>
      <c r="S14" s="551">
        <v>94854</v>
      </c>
      <c r="T14" s="549">
        <f>R14/Q14</f>
        <v>1.0927447270041999</v>
      </c>
      <c r="U14" s="549">
        <f>S14/Q14</f>
        <v>1.0944523930401071</v>
      </c>
      <c r="V14" s="549"/>
      <c r="W14" s="549"/>
    </row>
    <row r="15" spans="1:23" ht="13" x14ac:dyDescent="0.25">
      <c r="A15" s="11" t="s">
        <v>528</v>
      </c>
      <c r="B15" s="16"/>
      <c r="C15" s="19">
        <v>129487.84757606639</v>
      </c>
      <c r="D15" s="17">
        <f t="shared" si="0"/>
        <v>18320.147467881456</v>
      </c>
      <c r="E15" s="542">
        <f t="shared" si="1"/>
        <v>42.612393264440954</v>
      </c>
      <c r="F15" s="18"/>
      <c r="G15" s="19">
        <v>138490</v>
      </c>
      <c r="H15" s="17">
        <f t="shared" si="2"/>
        <v>19593.786369307545</v>
      </c>
      <c r="I15" s="542">
        <f t="shared" si="3"/>
        <v>45.574858596098856</v>
      </c>
      <c r="J15" s="18"/>
      <c r="K15" s="21">
        <v>3206</v>
      </c>
      <c r="O15" t="s">
        <v>855</v>
      </c>
      <c r="P15" t="s">
        <v>640</v>
      </c>
      <c r="Q15" s="551"/>
      <c r="R15" s="551"/>
      <c r="S15" s="551"/>
      <c r="T15" s="549">
        <f>$I$19/$E$19</f>
        <v>1.1388646288209607</v>
      </c>
      <c r="U15" s="549">
        <f>$I$19/$E$19</f>
        <v>1.1388646288209607</v>
      </c>
      <c r="V15" s="549"/>
      <c r="W15" s="549"/>
    </row>
    <row r="16" spans="1:23" ht="13" x14ac:dyDescent="0.25">
      <c r="A16" s="11" t="s">
        <v>879</v>
      </c>
      <c r="B16" s="16"/>
      <c r="C16" s="19">
        <v>116920</v>
      </c>
      <c r="D16" s="17">
        <f t="shared" si="0"/>
        <v>19320.124881602911</v>
      </c>
      <c r="E16" s="542">
        <f t="shared" si="1"/>
        <v>44.938326005089621</v>
      </c>
      <c r="F16" s="18"/>
      <c r="G16" s="19">
        <v>125080</v>
      </c>
      <c r="H16" s="17">
        <f t="shared" si="2"/>
        <v>20668.501712204008</v>
      </c>
      <c r="I16" s="542">
        <f t="shared" si="3"/>
        <v>48.074630659567319</v>
      </c>
      <c r="J16" s="18"/>
      <c r="K16" s="22">
        <v>2745</v>
      </c>
      <c r="O16" t="s">
        <v>914</v>
      </c>
      <c r="P16" t="s">
        <v>640</v>
      </c>
      <c r="Q16" s="551">
        <v>116090</v>
      </c>
      <c r="R16" s="551">
        <f>5194000/42</f>
        <v>123666.66666666667</v>
      </c>
      <c r="S16" s="551">
        <f>5218000/42</f>
        <v>124238.09523809524</v>
      </c>
      <c r="T16" s="549">
        <f>R16/Q16</f>
        <v>1.0652654549631033</v>
      </c>
      <c r="U16" s="549">
        <f>S16/Q16</f>
        <v>1.0701877443198831</v>
      </c>
      <c r="V16" s="549"/>
      <c r="W16" s="549"/>
    </row>
    <row r="17" spans="1:23" ht="13" x14ac:dyDescent="0.25">
      <c r="A17" s="11" t="s">
        <v>880</v>
      </c>
      <c r="B17" s="16"/>
      <c r="C17" s="19">
        <v>111520</v>
      </c>
      <c r="D17" s="17">
        <f t="shared" si="0"/>
        <v>19081.236061863448</v>
      </c>
      <c r="E17" s="542">
        <f t="shared" si="1"/>
        <v>44.382674127774621</v>
      </c>
      <c r="F17" s="18"/>
      <c r="G17" s="19">
        <v>119740</v>
      </c>
      <c r="H17" s="17">
        <f t="shared" si="2"/>
        <v>20487.69015465862</v>
      </c>
      <c r="I17" s="542">
        <f t="shared" si="3"/>
        <v>47.654065638986118</v>
      </c>
      <c r="J17" s="18"/>
      <c r="K17" s="21">
        <v>2651</v>
      </c>
      <c r="O17" t="s">
        <v>856</v>
      </c>
      <c r="P17" t="s">
        <v>639</v>
      </c>
      <c r="Q17" s="551">
        <v>16811000</v>
      </c>
      <c r="R17" s="551">
        <v>17200000</v>
      </c>
      <c r="S17" s="551">
        <v>17200000</v>
      </c>
      <c r="T17" s="549">
        <f>R17/Q17</f>
        <v>1.0231396109690083</v>
      </c>
      <c r="U17" s="549">
        <f>S17/Q17</f>
        <v>1.0231396109690083</v>
      </c>
      <c r="V17" s="549"/>
      <c r="W17" s="549"/>
    </row>
    <row r="18" spans="1:23" ht="13" x14ac:dyDescent="0.25">
      <c r="A18" s="11" t="s">
        <v>881</v>
      </c>
      <c r="B18" s="16"/>
      <c r="C18" s="19">
        <v>140352.52220119376</v>
      </c>
      <c r="D18" s="17">
        <f t="shared" si="0"/>
        <v>16967.617416108602</v>
      </c>
      <c r="E18" s="542">
        <f t="shared" si="1"/>
        <v>39.466428278669781</v>
      </c>
      <c r="F18" s="18"/>
      <c r="G18" s="19">
        <v>150110</v>
      </c>
      <c r="H18" s="17">
        <f t="shared" si="2"/>
        <v>18147.226785714287</v>
      </c>
      <c r="I18" s="542">
        <f t="shared" si="3"/>
        <v>42.210182303804245</v>
      </c>
      <c r="J18" s="18"/>
      <c r="K18" s="21">
        <v>3752</v>
      </c>
      <c r="O18" t="s">
        <v>857</v>
      </c>
      <c r="P18" t="s">
        <v>641</v>
      </c>
      <c r="Q18" s="552">
        <v>2.8300000000000001E-3</v>
      </c>
      <c r="R18" s="551"/>
      <c r="S18" s="551"/>
      <c r="T18" s="549">
        <v>1</v>
      </c>
      <c r="U18" s="549">
        <v>1</v>
      </c>
      <c r="V18" s="549"/>
      <c r="W18" s="549"/>
    </row>
    <row r="19" spans="1:23" ht="13" x14ac:dyDescent="0.25">
      <c r="A19" s="11" t="s">
        <v>311</v>
      </c>
      <c r="B19" s="23"/>
      <c r="C19" s="19">
        <v>57250</v>
      </c>
      <c r="D19" s="17">
        <f t="shared" si="0"/>
        <v>8638.7317032601459</v>
      </c>
      <c r="E19" s="542">
        <f t="shared" si="1"/>
        <v>20.093562745097504</v>
      </c>
      <c r="F19" s="18"/>
      <c r="G19" s="19">
        <v>65200</v>
      </c>
      <c r="H19" s="17">
        <f t="shared" si="2"/>
        <v>9838.345974717231</v>
      </c>
      <c r="I19" s="542">
        <f t="shared" si="3"/>
        <v>22.883847877386152</v>
      </c>
      <c r="J19" s="18"/>
      <c r="K19" s="22">
        <v>3006</v>
      </c>
      <c r="Q19" s="549"/>
      <c r="R19" s="549"/>
      <c r="S19" s="549"/>
      <c r="T19" s="549"/>
      <c r="U19" s="549"/>
      <c r="V19" s="549"/>
      <c r="W19" s="549"/>
    </row>
    <row r="20" spans="1:23" ht="13" x14ac:dyDescent="0.25">
      <c r="A20" s="11" t="s">
        <v>312</v>
      </c>
      <c r="B20" s="23"/>
      <c r="C20" s="19">
        <v>76330</v>
      </c>
      <c r="D20" s="17">
        <f t="shared" si="0"/>
        <v>11587.19032797858</v>
      </c>
      <c r="E20" s="542">
        <f t="shared" si="1"/>
        <v>26.95163409308779</v>
      </c>
      <c r="F20" s="18"/>
      <c r="G20" s="19">
        <v>84530</v>
      </c>
      <c r="H20" s="17">
        <f t="shared" si="2"/>
        <v>12831.982161981257</v>
      </c>
      <c r="I20" s="542">
        <f t="shared" si="3"/>
        <v>29.847001570663057</v>
      </c>
      <c r="J20" s="18"/>
      <c r="K20" s="22">
        <v>2988</v>
      </c>
      <c r="Q20" s="549"/>
      <c r="R20" s="549"/>
      <c r="S20" s="549"/>
      <c r="T20" s="549"/>
      <c r="U20" s="549"/>
      <c r="V20" s="549"/>
      <c r="W20" s="549"/>
    </row>
    <row r="21" spans="1:23" ht="13" x14ac:dyDescent="0.25">
      <c r="A21" s="11" t="s">
        <v>966</v>
      </c>
      <c r="B21" s="23"/>
      <c r="C21" s="19">
        <v>99837</v>
      </c>
      <c r="D21" s="17">
        <f t="shared" si="0"/>
        <v>14774.898802610114</v>
      </c>
      <c r="E21" s="542">
        <f t="shared" si="1"/>
        <v>34.366197069261162</v>
      </c>
      <c r="F21" s="18"/>
      <c r="G21" s="19">
        <v>108458</v>
      </c>
      <c r="H21" s="17">
        <f t="shared" si="2"/>
        <v>16050.722420880913</v>
      </c>
      <c r="I21" s="542">
        <f t="shared" si="3"/>
        <v>37.33374402013208</v>
      </c>
      <c r="J21" s="18"/>
      <c r="K21" s="22">
        <v>3065</v>
      </c>
      <c r="Q21" s="549"/>
      <c r="R21" s="549"/>
      <c r="S21" s="549"/>
      <c r="T21" s="549"/>
      <c r="U21" s="549"/>
      <c r="V21" s="549"/>
      <c r="W21" s="549"/>
    </row>
    <row r="22" spans="1:23" ht="13" x14ac:dyDescent="0.25">
      <c r="A22" s="11" t="s">
        <v>967</v>
      </c>
      <c r="B22" s="23"/>
      <c r="C22" s="19">
        <v>83127</v>
      </c>
      <c r="D22" s="17">
        <f t="shared" si="0"/>
        <v>12721.179463562754</v>
      </c>
      <c r="E22" s="542">
        <f t="shared" si="1"/>
        <v>29.589276125600549</v>
      </c>
      <c r="F22" s="18"/>
      <c r="G22" s="19">
        <v>89511</v>
      </c>
      <c r="H22" s="17">
        <f t="shared" si="2"/>
        <v>13698.142540485829</v>
      </c>
      <c r="I22" s="542">
        <f t="shared" si="3"/>
        <v>31.861677857719279</v>
      </c>
      <c r="J22" s="18"/>
      <c r="K22" s="22">
        <v>2964</v>
      </c>
      <c r="Q22" s="549"/>
      <c r="R22" s="549"/>
      <c r="S22" s="549"/>
      <c r="T22" s="549"/>
      <c r="U22" s="549"/>
      <c r="V22" s="549"/>
      <c r="W22" s="549"/>
    </row>
    <row r="23" spans="1:23" ht="13" x14ac:dyDescent="0.25">
      <c r="A23" s="11" t="s">
        <v>882</v>
      </c>
      <c r="B23" s="23"/>
      <c r="C23" s="19">
        <v>116090</v>
      </c>
      <c r="D23" s="17">
        <f t="shared" si="0"/>
        <v>18679.412238382403</v>
      </c>
      <c r="E23" s="542">
        <f t="shared" si="1"/>
        <v>43.448037830811678</v>
      </c>
      <c r="F23" s="18"/>
      <c r="G23" s="19">
        <v>124340</v>
      </c>
      <c r="H23" s="17">
        <f t="shared" si="2"/>
        <v>20006.874991131608</v>
      </c>
      <c r="I23" s="542">
        <f t="shared" si="3"/>
        <v>46.535696648144757</v>
      </c>
      <c r="J23" s="18"/>
      <c r="K23" s="22">
        <v>2819</v>
      </c>
      <c r="Q23" s="549"/>
      <c r="R23" s="549"/>
      <c r="S23" s="549"/>
      <c r="T23" s="549"/>
      <c r="U23" s="549"/>
      <c r="V23" s="549"/>
      <c r="W23" s="549"/>
    </row>
    <row r="24" spans="1:23" ht="13" x14ac:dyDescent="0.25">
      <c r="A24" s="11" t="s">
        <v>883</v>
      </c>
      <c r="B24" s="23"/>
      <c r="C24" s="19">
        <v>84950</v>
      </c>
      <c r="D24" s="17">
        <f t="shared" si="0"/>
        <v>20037.686167446696</v>
      </c>
      <c r="E24" s="542">
        <f t="shared" si="1"/>
        <v>46.607362990589891</v>
      </c>
      <c r="F24" s="18"/>
      <c r="G24" s="19">
        <v>91410</v>
      </c>
      <c r="H24" s="17">
        <f t="shared" si="2"/>
        <v>21561.446645865835</v>
      </c>
      <c r="I24" s="542">
        <f t="shared" si="3"/>
        <v>50.151607427543532</v>
      </c>
      <c r="J24" s="18"/>
      <c r="K24" s="22">
        <v>1923</v>
      </c>
      <c r="Q24" s="549"/>
      <c r="R24" s="549"/>
      <c r="S24" s="549"/>
      <c r="T24" s="549"/>
      <c r="U24" s="549"/>
      <c r="V24" s="549"/>
      <c r="W24" s="549"/>
    </row>
    <row r="25" spans="1:23" ht="13" x14ac:dyDescent="0.25">
      <c r="A25" s="11" t="s">
        <v>884</v>
      </c>
      <c r="B25" s="23"/>
      <c r="C25" s="19">
        <v>74720</v>
      </c>
      <c r="D25" s="17">
        <f t="shared" si="0"/>
        <v>20908.23244910549</v>
      </c>
      <c r="E25" s="542">
        <f t="shared" si="1"/>
        <v>48.632240823804793</v>
      </c>
      <c r="F25" s="18"/>
      <c r="G25" s="19">
        <v>84820</v>
      </c>
      <c r="H25" s="17">
        <f t="shared" si="2"/>
        <v>23734.425539790249</v>
      </c>
      <c r="I25" s="542">
        <f t="shared" si="3"/>
        <v>55.205924339870478</v>
      </c>
      <c r="J25" s="18"/>
      <c r="K25" s="22">
        <v>1621</v>
      </c>
      <c r="Q25" s="549"/>
      <c r="R25" s="549"/>
      <c r="S25" s="549"/>
      <c r="T25" s="549"/>
      <c r="U25" s="549"/>
      <c r="V25" s="549"/>
      <c r="W25" s="549"/>
    </row>
    <row r="26" spans="1:23" ht="13" x14ac:dyDescent="0.25">
      <c r="A26" s="11" t="s">
        <v>885</v>
      </c>
      <c r="B26" s="23"/>
      <c r="C26" s="19">
        <v>68930</v>
      </c>
      <c r="D26" s="17">
        <f t="shared" si="0"/>
        <v>12416.981215250198</v>
      </c>
      <c r="E26" s="542">
        <f t="shared" si="1"/>
        <v>28.881715479040551</v>
      </c>
      <c r="F26" s="18"/>
      <c r="G26" s="19">
        <v>75610</v>
      </c>
      <c r="H26" s="17">
        <f t="shared" si="2"/>
        <v>13620.3097299444</v>
      </c>
      <c r="I26" s="542">
        <f t="shared" si="3"/>
        <v>31.680639886410216</v>
      </c>
      <c r="J26" s="18"/>
      <c r="K26" s="22">
        <v>2518</v>
      </c>
      <c r="Q26" s="549"/>
      <c r="R26" s="549"/>
      <c r="S26" s="549"/>
      <c r="T26" s="549"/>
      <c r="U26" s="549"/>
      <c r="V26" s="549"/>
      <c r="W26" s="549"/>
    </row>
    <row r="27" spans="1:23" ht="13" x14ac:dyDescent="0.25">
      <c r="A27" s="11" t="s">
        <v>886</v>
      </c>
      <c r="B27" s="23"/>
      <c r="C27" s="19">
        <v>72200</v>
      </c>
      <c r="D27" s="17">
        <f t="shared" si="0"/>
        <v>10061.197542242702</v>
      </c>
      <c r="E27" s="542">
        <f t="shared" si="1"/>
        <v>23.402197342183918</v>
      </c>
      <c r="F27" s="18"/>
      <c r="G27" s="19">
        <v>79196.89540113158</v>
      </c>
      <c r="H27" s="17">
        <f t="shared" si="2"/>
        <v>11036.227276497471</v>
      </c>
      <c r="I27" s="542">
        <f t="shared" si="3"/>
        <v>25.670102147722705</v>
      </c>
      <c r="J27" s="18"/>
      <c r="K27" s="22">
        <v>3255</v>
      </c>
      <c r="Q27" s="549"/>
      <c r="R27" s="549"/>
      <c r="S27" s="549"/>
      <c r="T27" s="549"/>
      <c r="U27" s="549"/>
      <c r="V27" s="549"/>
      <c r="W27" s="549"/>
    </row>
    <row r="28" spans="1:23" ht="13" x14ac:dyDescent="0.25">
      <c r="A28" s="11" t="s">
        <v>887</v>
      </c>
      <c r="B28" s="23"/>
      <c r="C28" s="19">
        <v>119550</v>
      </c>
      <c r="D28" s="17">
        <f t="shared" si="0"/>
        <v>16134.09238321928</v>
      </c>
      <c r="E28" s="542">
        <f t="shared" si="1"/>
        <v>37.527661324991804</v>
      </c>
      <c r="F28" s="18"/>
      <c r="G28" s="19">
        <v>127960</v>
      </c>
      <c r="H28" s="17">
        <f t="shared" si="2"/>
        <v>17269.079559654863</v>
      </c>
      <c r="I28" s="542">
        <f t="shared" si="3"/>
        <v>40.167624785829787</v>
      </c>
      <c r="J28" s="18"/>
      <c r="K28" s="22">
        <v>3361</v>
      </c>
      <c r="Q28" s="549"/>
      <c r="R28" s="549"/>
      <c r="S28" s="549"/>
      <c r="T28" s="549"/>
      <c r="U28" s="549"/>
      <c r="V28" s="549"/>
      <c r="W28" s="549"/>
    </row>
    <row r="29" spans="1:23" ht="13" x14ac:dyDescent="0.25">
      <c r="A29" s="11" t="s">
        <v>888</v>
      </c>
      <c r="B29" s="23"/>
      <c r="C29" s="19">
        <v>123670</v>
      </c>
      <c r="D29" s="17">
        <f t="shared" si="0"/>
        <v>18593.130692741131</v>
      </c>
      <c r="E29" s="542">
        <f t="shared" si="1"/>
        <v>43.247348226059557</v>
      </c>
      <c r="F29" s="18"/>
      <c r="G29" s="19">
        <v>130030</v>
      </c>
      <c r="H29" s="17">
        <f t="shared" si="2"/>
        <v>19549.323069274113</v>
      </c>
      <c r="I29" s="542">
        <f t="shared" si="3"/>
        <v>45.471437614898726</v>
      </c>
      <c r="J29" s="18"/>
      <c r="K29" s="22">
        <v>3017</v>
      </c>
      <c r="Q29" s="549"/>
      <c r="R29" s="549"/>
      <c r="S29" s="549"/>
      <c r="T29" s="549"/>
      <c r="U29" s="549"/>
      <c r="V29" s="549"/>
      <c r="W29" s="549"/>
    </row>
    <row r="30" spans="1:23" ht="13" x14ac:dyDescent="0.25">
      <c r="A30" s="11" t="s">
        <v>968</v>
      </c>
      <c r="B30" s="23"/>
      <c r="C30" s="19">
        <v>117059</v>
      </c>
      <c r="D30" s="17">
        <f t="shared" si="0"/>
        <v>18729.027093474426</v>
      </c>
      <c r="E30" s="542">
        <f t="shared" si="1"/>
        <v>43.563441253226593</v>
      </c>
      <c r="F30" s="18"/>
      <c r="G30" s="19">
        <v>125294</v>
      </c>
      <c r="H30" s="17">
        <f t="shared" si="2"/>
        <v>20046.598045855379</v>
      </c>
      <c r="I30" s="542">
        <f t="shared" si="3"/>
        <v>46.628091888549989</v>
      </c>
      <c r="J30" s="18"/>
      <c r="K30" s="22">
        <v>2835</v>
      </c>
      <c r="Q30" s="549"/>
      <c r="R30" s="549"/>
      <c r="S30" s="549"/>
      <c r="T30" s="549"/>
      <c r="U30" s="549"/>
      <c r="V30" s="549"/>
      <c r="W30" s="549"/>
    </row>
    <row r="31" spans="1:23" ht="13" x14ac:dyDescent="0.25">
      <c r="A31" s="11" t="s">
        <v>969</v>
      </c>
      <c r="B31" s="23"/>
      <c r="C31" s="19">
        <v>122887</v>
      </c>
      <c r="D31" s="17">
        <f t="shared" si="0"/>
        <v>18907.840681818183</v>
      </c>
      <c r="E31" s="542">
        <f t="shared" si="1"/>
        <v>43.979359026862895</v>
      </c>
      <c r="F31" s="18"/>
      <c r="G31" s="19">
        <v>130817</v>
      </c>
      <c r="H31" s="17">
        <f t="shared" si="2"/>
        <v>20127.979318181817</v>
      </c>
      <c r="I31" s="542">
        <f t="shared" si="3"/>
        <v>46.817383529723436</v>
      </c>
      <c r="J31" s="18"/>
      <c r="K31" s="22">
        <v>2948</v>
      </c>
      <c r="Q31" s="549"/>
      <c r="R31" s="549"/>
      <c r="S31" s="549"/>
      <c r="T31" s="549"/>
      <c r="U31" s="549"/>
      <c r="V31" s="549"/>
      <c r="W31" s="549"/>
    </row>
    <row r="32" spans="1:23" ht="13" x14ac:dyDescent="0.25">
      <c r="A32" s="11" t="s">
        <v>970</v>
      </c>
      <c r="B32" s="23"/>
      <c r="C32" s="19">
        <v>115983</v>
      </c>
      <c r="D32" s="17">
        <f t="shared" si="0"/>
        <v>18589.656879858656</v>
      </c>
      <c r="E32" s="542">
        <f t="shared" si="1"/>
        <v>43.23926818844334</v>
      </c>
      <c r="F32" s="18"/>
      <c r="G32" s="19">
        <v>124230</v>
      </c>
      <c r="H32" s="17">
        <f t="shared" si="2"/>
        <v>19911.479045936394</v>
      </c>
      <c r="I32" s="542">
        <f t="shared" si="3"/>
        <v>46.313807084230582</v>
      </c>
      <c r="J32" s="18"/>
      <c r="K32" s="22">
        <v>2830</v>
      </c>
      <c r="Q32" s="549"/>
      <c r="R32" s="549"/>
      <c r="S32" s="549"/>
      <c r="T32" s="549"/>
      <c r="U32" s="549"/>
      <c r="V32" s="549"/>
      <c r="W32" s="549"/>
    </row>
    <row r="33" spans="1:23" ht="13" x14ac:dyDescent="0.25">
      <c r="A33" s="11" t="s">
        <v>889</v>
      </c>
      <c r="B33" s="23"/>
      <c r="C33" s="19">
        <v>30500</v>
      </c>
      <c r="D33" s="17">
        <f t="shared" si="0"/>
        <v>51621.249999999993</v>
      </c>
      <c r="E33" s="545">
        <f t="shared" si="1"/>
        <v>120.070267428715</v>
      </c>
      <c r="F33" s="18"/>
      <c r="G33" s="19">
        <v>36020</v>
      </c>
      <c r="H33" s="17">
        <f t="shared" si="2"/>
        <v>60963.849999999991</v>
      </c>
      <c r="I33" s="545">
        <f t="shared" si="3"/>
        <v>141.80101746827262</v>
      </c>
      <c r="J33" s="18"/>
      <c r="K33" s="22">
        <v>268</v>
      </c>
      <c r="Q33" s="549"/>
      <c r="R33" s="549"/>
      <c r="S33" s="549"/>
      <c r="T33" s="549"/>
      <c r="U33" s="549"/>
      <c r="V33" s="549"/>
      <c r="W33" s="549"/>
    </row>
    <row r="34" spans="1:23" ht="13" x14ac:dyDescent="0.25">
      <c r="A34" s="11" t="s">
        <v>890</v>
      </c>
      <c r="B34" s="23"/>
      <c r="C34" s="19">
        <v>93540</v>
      </c>
      <c r="D34" s="17">
        <f t="shared" si="0"/>
        <v>15093.848665955175</v>
      </c>
      <c r="E34" s="542">
        <f t="shared" si="1"/>
        <v>35.108069755183983</v>
      </c>
      <c r="F34" s="18"/>
      <c r="G34" s="19">
        <v>101130</v>
      </c>
      <c r="H34" s="17">
        <f t="shared" si="2"/>
        <v>16318.59007470651</v>
      </c>
      <c r="I34" s="542">
        <f t="shared" si="3"/>
        <v>37.95680023884708</v>
      </c>
      <c r="J34" s="18"/>
      <c r="K34" s="22">
        <v>2811</v>
      </c>
      <c r="Q34" s="549"/>
      <c r="R34" s="549"/>
      <c r="S34" s="549"/>
      <c r="T34" s="549"/>
      <c r="U34" s="549"/>
      <c r="V34" s="549"/>
      <c r="W34" s="549"/>
    </row>
    <row r="35" spans="1:23" ht="13" x14ac:dyDescent="0.25">
      <c r="A35" s="11" t="s">
        <v>891</v>
      </c>
      <c r="B35" s="16"/>
      <c r="C35" s="19">
        <v>96720</v>
      </c>
      <c r="D35" s="17">
        <f t="shared" si="0"/>
        <v>15612.535516014234</v>
      </c>
      <c r="E35" s="542">
        <f t="shared" si="1"/>
        <v>36.314527731276172</v>
      </c>
      <c r="F35" s="18"/>
      <c r="G35" s="19">
        <v>104530</v>
      </c>
      <c r="H35" s="17">
        <f t="shared" si="2"/>
        <v>16873.225160142349</v>
      </c>
      <c r="I35" s="542">
        <f t="shared" si="3"/>
        <v>39.246873281123854</v>
      </c>
      <c r="J35" s="18"/>
      <c r="K35" s="21">
        <v>2810</v>
      </c>
      <c r="Q35" s="549"/>
      <c r="R35" s="549"/>
      <c r="S35" s="549"/>
      <c r="T35" s="549"/>
      <c r="U35" s="549"/>
      <c r="V35" s="549"/>
      <c r="W35" s="549"/>
    </row>
    <row r="36" spans="1:23" ht="13" x14ac:dyDescent="0.25">
      <c r="A36" s="11" t="s">
        <v>892</v>
      </c>
      <c r="B36" s="16"/>
      <c r="C36" s="19">
        <v>100480</v>
      </c>
      <c r="D36" s="17">
        <f t="shared" si="0"/>
        <v>15645.974322004806</v>
      </c>
      <c r="E36" s="542">
        <f t="shared" si="1"/>
        <v>36.392305901657274</v>
      </c>
      <c r="F36" s="18"/>
      <c r="G36" s="19">
        <v>108570</v>
      </c>
      <c r="H36" s="17">
        <f t="shared" si="2"/>
        <v>16905.687023686918</v>
      </c>
      <c r="I36" s="542">
        <f t="shared" si="3"/>
        <v>39.322379097760042</v>
      </c>
      <c r="J36" s="18"/>
      <c r="K36" s="21">
        <v>2913</v>
      </c>
      <c r="Q36" s="549"/>
      <c r="R36" s="549"/>
      <c r="S36" s="549"/>
      <c r="T36" s="549"/>
      <c r="U36" s="549"/>
      <c r="V36" s="549"/>
      <c r="W36" s="549"/>
    </row>
    <row r="37" spans="1:23" ht="13" x14ac:dyDescent="0.25">
      <c r="A37" s="11" t="s">
        <v>893</v>
      </c>
      <c r="B37" s="16"/>
      <c r="C37" s="19">
        <v>94970</v>
      </c>
      <c r="D37" s="17">
        <f t="shared" si="0"/>
        <v>19465.631405332126</v>
      </c>
      <c r="E37" s="542">
        <f t="shared" si="1"/>
        <v>45.27677203684572</v>
      </c>
      <c r="F37" s="18"/>
      <c r="G37" s="19">
        <v>103220</v>
      </c>
      <c r="H37" s="17">
        <f t="shared" si="2"/>
        <v>21156.601807501127</v>
      </c>
      <c r="I37" s="542">
        <f t="shared" si="3"/>
        <v>49.209944294442614</v>
      </c>
      <c r="J37" s="18"/>
      <c r="K37" s="21">
        <v>2213</v>
      </c>
      <c r="Q37" s="549"/>
      <c r="R37" s="549"/>
      <c r="S37" s="549"/>
      <c r="T37" s="549"/>
      <c r="U37" s="549"/>
      <c r="V37" s="549"/>
      <c r="W37" s="549"/>
    </row>
    <row r="38" spans="1:23" ht="13" x14ac:dyDescent="0.25">
      <c r="A38" s="11" t="s">
        <v>894</v>
      </c>
      <c r="B38" s="16"/>
      <c r="C38" s="19">
        <v>90060</v>
      </c>
      <c r="D38" s="17">
        <f t="shared" si="0"/>
        <v>19287.212181303115</v>
      </c>
      <c r="E38" s="542">
        <f t="shared" si="1"/>
        <v>44.861771548798892</v>
      </c>
      <c r="F38" s="18"/>
      <c r="G38" s="19">
        <v>98560</v>
      </c>
      <c r="H38" s="17">
        <f t="shared" si="2"/>
        <v>21107.568649669498</v>
      </c>
      <c r="I38" s="542">
        <f t="shared" si="3"/>
        <v>49.095893891290459</v>
      </c>
      <c r="J38" s="18"/>
      <c r="K38" s="21">
        <v>2118</v>
      </c>
      <c r="Q38" s="549"/>
      <c r="R38" s="549"/>
      <c r="S38" s="549"/>
      <c r="T38" s="549"/>
      <c r="U38" s="549"/>
      <c r="V38" s="549"/>
      <c r="W38" s="549"/>
    </row>
    <row r="39" spans="1:23" ht="13" x14ac:dyDescent="0.25">
      <c r="A39" s="11" t="s">
        <v>895</v>
      </c>
      <c r="B39" s="16"/>
      <c r="C39" s="19">
        <v>95720</v>
      </c>
      <c r="D39" s="17">
        <f t="shared" si="0"/>
        <v>19271.031868619615</v>
      </c>
      <c r="E39" s="542">
        <f t="shared" si="1"/>
        <v>44.824136379735997</v>
      </c>
      <c r="F39" s="18"/>
      <c r="G39" s="19">
        <v>103010</v>
      </c>
      <c r="H39" s="17">
        <f t="shared" si="2"/>
        <v>20738.706569019083</v>
      </c>
      <c r="I39" s="542">
        <f t="shared" si="3"/>
        <v>48.237926122822877</v>
      </c>
      <c r="J39" s="18"/>
      <c r="K39" s="21">
        <v>2253</v>
      </c>
      <c r="Q39" s="549"/>
      <c r="R39" s="549"/>
      <c r="S39" s="549"/>
      <c r="T39" s="549"/>
      <c r="U39" s="549"/>
      <c r="V39" s="549"/>
      <c r="W39" s="549"/>
    </row>
    <row r="40" spans="1:23" ht="13" x14ac:dyDescent="0.25">
      <c r="A40" s="11" t="s">
        <v>313</v>
      </c>
      <c r="B40" s="16"/>
      <c r="C40" s="19">
        <v>84250</v>
      </c>
      <c r="D40" s="17">
        <f t="shared" si="0"/>
        <v>19903.623697916668</v>
      </c>
      <c r="E40" s="542">
        <f t="shared" si="1"/>
        <v>46.295535660398848</v>
      </c>
      <c r="F40" s="18"/>
      <c r="G40" s="19">
        <v>91420</v>
      </c>
      <c r="H40" s="17">
        <f t="shared" si="2"/>
        <v>21597.498854166668</v>
      </c>
      <c r="I40" s="542">
        <f t="shared" si="3"/>
        <v>50.235464333218552</v>
      </c>
      <c r="J40" s="18"/>
      <c r="K40" s="21">
        <v>1920</v>
      </c>
      <c r="Q40" s="549"/>
      <c r="R40" s="549"/>
      <c r="S40" s="549"/>
      <c r="T40" s="549"/>
      <c r="U40" s="549"/>
      <c r="V40" s="549"/>
      <c r="W40" s="549"/>
    </row>
    <row r="41" spans="1:23" ht="13" x14ac:dyDescent="0.25">
      <c r="A41" s="7" t="s">
        <v>314</v>
      </c>
      <c r="B41" s="8"/>
      <c r="C41" s="9" t="s">
        <v>315</v>
      </c>
      <c r="D41" s="9" t="s">
        <v>316</v>
      </c>
      <c r="E41" s="9" t="s">
        <v>307</v>
      </c>
      <c r="F41" s="9"/>
      <c r="G41" s="9" t="s">
        <v>315</v>
      </c>
      <c r="H41" s="9" t="s">
        <v>316</v>
      </c>
      <c r="I41" s="9" t="s">
        <v>307</v>
      </c>
      <c r="J41" s="9"/>
      <c r="K41" s="10"/>
      <c r="Q41" s="549"/>
      <c r="R41" s="549"/>
      <c r="S41" s="549"/>
      <c r="T41" s="549"/>
      <c r="U41" s="549"/>
      <c r="V41" s="549"/>
      <c r="W41" s="549"/>
    </row>
    <row r="42" spans="1:23" ht="13" x14ac:dyDescent="0.25">
      <c r="A42" s="15" t="s">
        <v>896</v>
      </c>
      <c r="B42" s="16"/>
      <c r="C42" s="24">
        <v>19546300</v>
      </c>
      <c r="D42" s="17">
        <f t="shared" ref="D42:D50" si="4">C42/2000</f>
        <v>9773.15</v>
      </c>
      <c r="E42" s="542">
        <f t="shared" ref="E42:E50" si="5">D42*1.05506/1000*2.2046</f>
        <v>22.7322030001394</v>
      </c>
      <c r="F42" s="18"/>
      <c r="G42" s="19">
        <v>20608570</v>
      </c>
      <c r="H42" s="17">
        <f>G42/2000</f>
        <v>10304.285</v>
      </c>
      <c r="I42" s="542">
        <f t="shared" ref="I42:I50" si="6">H42*1.05506/1000*2.2046</f>
        <v>23.967615189707661</v>
      </c>
      <c r="J42" s="18"/>
      <c r="K42" s="22"/>
      <c r="Q42" s="549"/>
      <c r="R42" s="549"/>
      <c r="S42" s="549"/>
      <c r="T42" s="549"/>
      <c r="U42" s="549"/>
      <c r="V42" s="549"/>
      <c r="W42" s="549"/>
    </row>
    <row r="43" spans="1:23" ht="13" x14ac:dyDescent="0.25">
      <c r="A43" s="15" t="s">
        <v>897</v>
      </c>
      <c r="B43" s="16"/>
      <c r="C43" s="24">
        <v>22460600</v>
      </c>
      <c r="D43" s="17">
        <f t="shared" si="4"/>
        <v>11230.3</v>
      </c>
      <c r="E43" s="542">
        <f t="shared" si="5"/>
        <v>26.121512445062798</v>
      </c>
      <c r="F43" s="18"/>
      <c r="G43" s="19">
        <v>23445900</v>
      </c>
      <c r="H43" s="17">
        <f t="shared" ref="H43:H50" si="7">G43/2000</f>
        <v>11722.95</v>
      </c>
      <c r="I43" s="542">
        <f t="shared" si="6"/>
        <v>27.267409091284208</v>
      </c>
      <c r="J43" s="18"/>
      <c r="K43" s="22"/>
      <c r="Q43" s="549"/>
      <c r="R43" s="549"/>
      <c r="S43" s="549"/>
      <c r="T43" s="549"/>
      <c r="U43" s="549"/>
      <c r="V43" s="549"/>
      <c r="W43" s="549"/>
    </row>
    <row r="44" spans="1:23" ht="13" x14ac:dyDescent="0.25">
      <c r="A44" s="11" t="s">
        <v>898</v>
      </c>
      <c r="B44" s="12"/>
      <c r="C44" s="24">
        <v>24600497.144575384</v>
      </c>
      <c r="D44" s="17">
        <f t="shared" si="4"/>
        <v>12300.248572287692</v>
      </c>
      <c r="E44" s="542">
        <f t="shared" si="5"/>
        <v>28.610197070281195</v>
      </c>
      <c r="F44" s="18"/>
      <c r="G44" s="19">
        <v>25679670</v>
      </c>
      <c r="H44" s="17">
        <f t="shared" si="7"/>
        <v>12839.834999999999</v>
      </c>
      <c r="I44" s="542">
        <f t="shared" si="6"/>
        <v>29.865267156269461</v>
      </c>
      <c r="J44" s="18"/>
      <c r="K44" s="22"/>
    </row>
    <row r="45" spans="1:23" ht="13" x14ac:dyDescent="0.25">
      <c r="A45" s="15" t="s">
        <v>899</v>
      </c>
      <c r="B45" s="16"/>
      <c r="C45" s="24">
        <v>16811000</v>
      </c>
      <c r="D45" s="17">
        <f t="shared" si="4"/>
        <v>8405.5</v>
      </c>
      <c r="E45" s="542">
        <f t="shared" si="5"/>
        <v>19.551069237418005</v>
      </c>
      <c r="F45" s="18"/>
      <c r="G45" s="19">
        <v>17703170</v>
      </c>
      <c r="H45" s="17">
        <f t="shared" si="7"/>
        <v>8851.5849999999991</v>
      </c>
      <c r="I45" s="542">
        <f t="shared" si="6"/>
        <v>20.588656379262464</v>
      </c>
      <c r="J45" s="18"/>
      <c r="K45" s="22"/>
    </row>
    <row r="46" spans="1:23" ht="13" x14ac:dyDescent="0.25">
      <c r="A46" s="15" t="s">
        <v>900</v>
      </c>
      <c r="B46" s="16"/>
      <c r="C46" s="24">
        <v>14797554.763920812</v>
      </c>
      <c r="D46" s="17">
        <f t="shared" si="4"/>
        <v>7398.7773819604063</v>
      </c>
      <c r="E46" s="542">
        <f t="shared" si="5"/>
        <v>17.209447250841734</v>
      </c>
      <c r="F46" s="18"/>
      <c r="G46" s="19">
        <v>15582870</v>
      </c>
      <c r="H46" s="17">
        <f t="shared" si="7"/>
        <v>7791.4350000000004</v>
      </c>
      <c r="I46" s="542">
        <f t="shared" si="6"/>
        <v>18.122763088911064</v>
      </c>
      <c r="J46" s="18"/>
      <c r="K46" s="22"/>
    </row>
    <row r="47" spans="1:23" ht="13" x14ac:dyDescent="0.25">
      <c r="A47" s="15" t="s">
        <v>901</v>
      </c>
      <c r="B47" s="16"/>
      <c r="C47" s="24">
        <v>14075990</v>
      </c>
      <c r="D47" s="17">
        <f t="shared" si="4"/>
        <v>7037.9949999999999</v>
      </c>
      <c r="E47" s="542">
        <f t="shared" si="5"/>
        <v>16.370272742561625</v>
      </c>
      <c r="F47" s="18"/>
      <c r="G47" s="19">
        <v>14974460</v>
      </c>
      <c r="H47" s="17">
        <f t="shared" si="7"/>
        <v>7487.23</v>
      </c>
      <c r="I47" s="542">
        <f t="shared" si="6"/>
        <v>17.415186738025483</v>
      </c>
      <c r="J47" s="18"/>
      <c r="K47" s="22"/>
    </row>
    <row r="48" spans="1:23" ht="13" x14ac:dyDescent="0.25">
      <c r="A48" s="15" t="s">
        <v>902</v>
      </c>
      <c r="B48" s="16"/>
      <c r="C48" s="24">
        <v>13243490</v>
      </c>
      <c r="D48" s="17">
        <f t="shared" si="4"/>
        <v>6621.7449999999999</v>
      </c>
      <c r="E48" s="542">
        <f t="shared" si="5"/>
        <v>15.40208137142662</v>
      </c>
      <c r="F48" s="18"/>
      <c r="G48" s="19">
        <v>14164160</v>
      </c>
      <c r="H48" s="17">
        <f t="shared" si="7"/>
        <v>7082.08</v>
      </c>
      <c r="I48" s="542">
        <f t="shared" si="6"/>
        <v>16.472813803454081</v>
      </c>
      <c r="J48" s="18"/>
      <c r="K48" s="22"/>
    </row>
    <row r="49" spans="1:11" ht="13" x14ac:dyDescent="0.25">
      <c r="A49" s="15" t="s">
        <v>971</v>
      </c>
      <c r="B49" s="16"/>
      <c r="C49" s="24">
        <v>12947318</v>
      </c>
      <c r="D49" s="17">
        <f t="shared" si="4"/>
        <v>6473.6589999999997</v>
      </c>
      <c r="E49" s="542">
        <f t="shared" si="5"/>
        <v>15.057635515844886</v>
      </c>
      <c r="F49" s="18"/>
      <c r="G49" s="19">
        <v>14062678</v>
      </c>
      <c r="H49" s="17">
        <f t="shared" si="7"/>
        <v>7031.3389999999999</v>
      </c>
      <c r="I49" s="542">
        <f t="shared" si="6"/>
        <v>16.354790984564566</v>
      </c>
      <c r="J49" s="18"/>
      <c r="K49" s="22"/>
    </row>
    <row r="50" spans="1:11" ht="13" x14ac:dyDescent="0.25">
      <c r="A50" s="15" t="s">
        <v>972</v>
      </c>
      <c r="B50" s="16"/>
      <c r="C50" s="24">
        <v>25370000</v>
      </c>
      <c r="D50" s="17">
        <f t="shared" si="4"/>
        <v>12685</v>
      </c>
      <c r="E50" s="542">
        <f t="shared" si="5"/>
        <v>29.505123226060004</v>
      </c>
      <c r="F50" s="18"/>
      <c r="G50" s="19">
        <v>26920000</v>
      </c>
      <c r="H50" s="17">
        <f t="shared" si="7"/>
        <v>13460</v>
      </c>
      <c r="I50" s="542">
        <f t="shared" si="6"/>
        <v>31.307761814960006</v>
      </c>
      <c r="J50" s="18"/>
      <c r="K50" s="22"/>
    </row>
    <row r="51" spans="1:11" ht="13" x14ac:dyDescent="0.25">
      <c r="A51" s="1699" t="s">
        <v>317</v>
      </c>
      <c r="B51" s="1700"/>
      <c r="C51" s="1700"/>
      <c r="D51" s="1700"/>
      <c r="E51" s="1700"/>
      <c r="F51" s="1700"/>
      <c r="G51" s="1700"/>
      <c r="H51" s="1700"/>
      <c r="I51" s="1700"/>
      <c r="J51" s="1700"/>
      <c r="K51" s="1701"/>
    </row>
    <row r="52" spans="1:11" x14ac:dyDescent="0.25">
      <c r="A52" s="1696" t="s">
        <v>903</v>
      </c>
      <c r="B52" s="1697"/>
      <c r="C52" s="1697"/>
      <c r="D52" s="1697"/>
      <c r="E52" s="1697"/>
      <c r="F52" s="1697"/>
      <c r="G52" s="1697"/>
      <c r="H52" s="1697"/>
      <c r="I52" s="1697"/>
      <c r="J52" s="1697"/>
      <c r="K52" s="1698"/>
    </row>
    <row r="53" spans="1:11" x14ac:dyDescent="0.25">
      <c r="A53" s="1685" t="s">
        <v>904</v>
      </c>
      <c r="B53" s="1686"/>
      <c r="C53" s="1686"/>
      <c r="D53" s="1686"/>
      <c r="E53" s="1686"/>
      <c r="F53" s="1686"/>
      <c r="G53" s="1686"/>
      <c r="H53" s="1686"/>
      <c r="I53" s="1686"/>
      <c r="J53" s="1686"/>
      <c r="K53" s="1687"/>
    </row>
    <row r="54" spans="1:11" x14ac:dyDescent="0.25">
      <c r="A54" s="1685" t="s">
        <v>905</v>
      </c>
      <c r="B54" s="1686"/>
      <c r="C54" s="1686"/>
      <c r="D54" s="1686"/>
      <c r="E54" s="1686"/>
      <c r="F54" s="1686"/>
      <c r="G54" s="1686"/>
      <c r="H54" s="1686"/>
      <c r="I54" s="1686"/>
      <c r="J54" s="1686"/>
      <c r="K54" s="1687"/>
    </row>
    <row r="55" spans="1:11" x14ac:dyDescent="0.25">
      <c r="A55" s="1685" t="s">
        <v>906</v>
      </c>
      <c r="B55" s="1686"/>
      <c r="C55" s="1686"/>
      <c r="D55" s="1686"/>
      <c r="E55" s="1686"/>
      <c r="F55" s="1686"/>
      <c r="G55" s="1686"/>
      <c r="H55" s="1686"/>
      <c r="I55" s="1686"/>
      <c r="J55" s="1686"/>
      <c r="K55" s="1687"/>
    </row>
    <row r="56" spans="1:11" x14ac:dyDescent="0.25">
      <c r="A56" s="1706" t="s">
        <v>318</v>
      </c>
      <c r="B56" s="1707"/>
      <c r="C56" s="1707"/>
      <c r="D56" s="1707"/>
      <c r="E56" s="1707"/>
      <c r="F56" s="1707"/>
      <c r="G56" s="1707"/>
      <c r="H56" s="1707"/>
      <c r="I56" s="1707"/>
      <c r="J56" s="1707"/>
      <c r="K56" s="1708"/>
    </row>
    <row r="57" spans="1:11" x14ac:dyDescent="0.25">
      <c r="A57" s="1685" t="s">
        <v>319</v>
      </c>
      <c r="B57" s="1686"/>
      <c r="C57" s="1686"/>
      <c r="D57" s="1686"/>
      <c r="E57" s="1686"/>
      <c r="F57" s="1686"/>
      <c r="G57" s="1686"/>
      <c r="H57" s="1686"/>
      <c r="I57" s="1686"/>
      <c r="J57" s="1686"/>
      <c r="K57" s="1687"/>
    </row>
    <row r="58" spans="1:11" x14ac:dyDescent="0.25">
      <c r="A58" s="1685" t="s">
        <v>907</v>
      </c>
      <c r="B58" s="1686"/>
      <c r="C58" s="1686"/>
      <c r="D58" s="1686"/>
      <c r="E58" s="1686"/>
      <c r="F58" s="1686"/>
      <c r="G58" s="1686"/>
      <c r="H58" s="1686"/>
      <c r="I58" s="1686"/>
      <c r="J58" s="1686"/>
      <c r="K58" s="1687"/>
    </row>
    <row r="59" spans="1:11" x14ac:dyDescent="0.25">
      <c r="A59" s="1685" t="s">
        <v>908</v>
      </c>
      <c r="B59" s="1686"/>
      <c r="C59" s="1686"/>
      <c r="D59" s="1686"/>
      <c r="E59" s="1686"/>
      <c r="F59" s="1686"/>
      <c r="G59" s="1686"/>
      <c r="H59" s="1686"/>
      <c r="I59" s="1686"/>
      <c r="J59" s="1686"/>
      <c r="K59" s="1687"/>
    </row>
    <row r="60" spans="1:11" x14ac:dyDescent="0.25">
      <c r="A60" s="25"/>
      <c r="B60" s="26"/>
      <c r="C60" s="26"/>
      <c r="D60" s="26"/>
      <c r="E60" s="26"/>
      <c r="F60" s="26"/>
      <c r="G60" s="26"/>
      <c r="H60" s="26"/>
      <c r="I60" s="26"/>
      <c r="J60" s="26"/>
      <c r="K60" s="27"/>
    </row>
    <row r="61" spans="1:11" x14ac:dyDescent="0.25">
      <c r="A61" s="1685" t="s">
        <v>320</v>
      </c>
      <c r="B61" s="1686"/>
      <c r="C61" s="1686"/>
      <c r="D61" s="1686"/>
      <c r="E61" s="1686"/>
      <c r="F61" s="1686"/>
      <c r="G61" s="1686"/>
      <c r="H61" s="1686"/>
      <c r="I61" s="1686"/>
      <c r="J61" s="1686"/>
      <c r="K61" s="1687"/>
    </row>
    <row r="62" spans="1:11" ht="13" thickBot="1" x14ac:dyDescent="0.3">
      <c r="A62" s="1691" t="s">
        <v>973</v>
      </c>
      <c r="B62" s="1692"/>
      <c r="C62" s="1692"/>
      <c r="D62" s="1692"/>
      <c r="E62" s="1692"/>
      <c r="F62" s="1692"/>
      <c r="G62" s="1692"/>
      <c r="H62" s="1692"/>
      <c r="I62" s="1692"/>
      <c r="J62" s="1692"/>
      <c r="K62" s="1693"/>
    </row>
    <row r="63" spans="1:11" x14ac:dyDescent="0.25">
      <c r="A63" s="537"/>
      <c r="B63" s="538"/>
      <c r="C63" s="538"/>
      <c r="D63" s="538"/>
      <c r="E63" s="538"/>
      <c r="F63" s="538"/>
      <c r="G63" s="538"/>
      <c r="H63" s="538"/>
      <c r="I63" s="538"/>
      <c r="J63" s="538"/>
      <c r="K63" s="538"/>
    </row>
    <row r="64" spans="1:11" x14ac:dyDescent="0.25">
      <c r="A64" s="537"/>
      <c r="B64" s="538"/>
      <c r="C64" s="538"/>
      <c r="D64" s="538"/>
      <c r="E64" s="538"/>
      <c r="F64" s="538"/>
      <c r="G64" s="538"/>
      <c r="H64" s="538"/>
      <c r="I64" s="538"/>
      <c r="J64" s="538"/>
      <c r="K64" s="538"/>
    </row>
    <row r="65" spans="1:14" x14ac:dyDescent="0.25">
      <c r="A65" s="537"/>
      <c r="B65" s="538"/>
      <c r="C65" s="538"/>
      <c r="D65" s="538"/>
      <c r="E65" s="538"/>
      <c r="F65" s="538"/>
      <c r="G65" s="538"/>
      <c r="H65" s="538"/>
      <c r="I65" s="538"/>
      <c r="J65" s="538"/>
      <c r="K65" s="538"/>
    </row>
    <row r="66" spans="1:14" x14ac:dyDescent="0.25">
      <c r="A66" s="537"/>
      <c r="B66" s="538"/>
      <c r="C66" s="538"/>
      <c r="D66" s="538"/>
      <c r="E66" s="538"/>
      <c r="F66" s="538"/>
      <c r="G66" s="538"/>
      <c r="H66" s="538"/>
      <c r="I66" s="538"/>
      <c r="J66" s="538"/>
      <c r="K66" s="538"/>
    </row>
    <row r="68" spans="1:14" ht="13" thickBot="1" x14ac:dyDescent="0.3"/>
    <row r="69" spans="1:14" ht="43.5" customHeight="1" thickTop="1" thickBot="1" x14ac:dyDescent="0.3">
      <c r="A69" s="371" t="s">
        <v>1083</v>
      </c>
      <c r="B69" s="372"/>
      <c r="C69" s="372"/>
      <c r="D69" s="372"/>
      <c r="E69" s="372"/>
      <c r="F69" s="372"/>
      <c r="G69" s="372"/>
      <c r="H69" s="372"/>
      <c r="I69" s="372"/>
      <c r="J69" s="372"/>
      <c r="K69" s="373"/>
      <c r="L69" s="373"/>
      <c r="M69" s="634"/>
      <c r="N69" s="635"/>
    </row>
    <row r="70" spans="1:14" ht="56.5" thickTop="1" x14ac:dyDescent="0.25">
      <c r="A70" s="636" t="s">
        <v>1090</v>
      </c>
      <c r="B70" s="637" t="s">
        <v>1031</v>
      </c>
      <c r="C70" s="638" t="s">
        <v>1040</v>
      </c>
      <c r="D70" s="638" t="s">
        <v>1041</v>
      </c>
      <c r="E70" s="637" t="s">
        <v>190</v>
      </c>
      <c r="F70" s="637" t="s">
        <v>1039</v>
      </c>
      <c r="G70" s="639" t="s">
        <v>1038</v>
      </c>
      <c r="H70" s="640" t="s">
        <v>267</v>
      </c>
      <c r="I70" s="637" t="s">
        <v>703</v>
      </c>
      <c r="J70" s="637" t="s">
        <v>1056</v>
      </c>
      <c r="K70" s="641" t="s">
        <v>702</v>
      </c>
      <c r="L70" s="641" t="s">
        <v>931</v>
      </c>
      <c r="M70" s="642" t="s">
        <v>533</v>
      </c>
      <c r="N70" s="643" t="s">
        <v>534</v>
      </c>
    </row>
    <row r="71" spans="1:14" ht="37.5" x14ac:dyDescent="0.25">
      <c r="A71" s="893" t="s">
        <v>1085</v>
      </c>
      <c r="B71" s="648" t="s">
        <v>865</v>
      </c>
      <c r="C71" s="894" t="s">
        <v>699</v>
      </c>
      <c r="D71" s="648">
        <v>2007</v>
      </c>
      <c r="E71" s="895" t="s">
        <v>700</v>
      </c>
      <c r="F71" s="649"/>
      <c r="G71" s="648"/>
      <c r="H71" s="895" t="s">
        <v>864</v>
      </c>
      <c r="I71" s="845">
        <f>mmBTU_to_GJ</f>
        <v>1.0549999999999999</v>
      </c>
      <c r="J71" s="644" t="s">
        <v>1058</v>
      </c>
      <c r="K71" s="645">
        <v>56.31533863997597</v>
      </c>
      <c r="L71" s="645" t="s">
        <v>932</v>
      </c>
      <c r="M71" s="646"/>
      <c r="N71" s="647"/>
    </row>
    <row r="72" spans="1:14" ht="37.5" x14ac:dyDescent="0.25">
      <c r="A72" s="893" t="s">
        <v>283</v>
      </c>
      <c r="B72" s="648" t="s">
        <v>865</v>
      </c>
      <c r="C72" s="894" t="s">
        <v>699</v>
      </c>
      <c r="D72" s="648">
        <v>2007</v>
      </c>
      <c r="E72" s="895" t="s">
        <v>700</v>
      </c>
      <c r="F72" s="649"/>
      <c r="G72" s="648"/>
      <c r="H72" s="895" t="s">
        <v>864</v>
      </c>
      <c r="I72" s="845">
        <f>mmBTU_to_GJ</f>
        <v>1.0549999999999999</v>
      </c>
      <c r="J72" s="644" t="s">
        <v>1058</v>
      </c>
      <c r="K72" s="645">
        <v>56.31533863997597</v>
      </c>
      <c r="L72" s="645" t="s">
        <v>932</v>
      </c>
      <c r="M72" s="646"/>
      <c r="N72" s="647"/>
    </row>
    <row r="73" spans="1:14" ht="37.5" x14ac:dyDescent="0.25">
      <c r="A73" s="893" t="s">
        <v>681</v>
      </c>
      <c r="B73" s="648" t="s">
        <v>865</v>
      </c>
      <c r="C73" s="894" t="s">
        <v>699</v>
      </c>
      <c r="D73" s="648">
        <v>2007</v>
      </c>
      <c r="E73" s="895" t="s">
        <v>700</v>
      </c>
      <c r="F73" s="649"/>
      <c r="G73" s="648"/>
      <c r="H73" s="895" t="s">
        <v>864</v>
      </c>
      <c r="I73" s="845">
        <f>mmBTU_to_GJ</f>
        <v>1.0549999999999999</v>
      </c>
      <c r="J73" s="644" t="s">
        <v>1058</v>
      </c>
      <c r="K73" s="645">
        <v>56.31533863997597</v>
      </c>
      <c r="L73" s="645" t="s">
        <v>932</v>
      </c>
      <c r="M73" s="646"/>
      <c r="N73" s="647"/>
    </row>
    <row r="74" spans="1:14" ht="37.5" x14ac:dyDescent="0.25">
      <c r="A74" s="893" t="s">
        <v>1086</v>
      </c>
      <c r="B74" s="648" t="s">
        <v>865</v>
      </c>
      <c r="C74" s="894" t="s">
        <v>699</v>
      </c>
      <c r="D74" s="648">
        <v>2007</v>
      </c>
      <c r="E74" s="895" t="s">
        <v>700</v>
      </c>
      <c r="F74" s="649"/>
      <c r="G74" s="648"/>
      <c r="H74" s="895" t="s">
        <v>864</v>
      </c>
      <c r="I74" s="845">
        <f>mmBTU_to_GJ</f>
        <v>1.0549999999999999</v>
      </c>
      <c r="J74" s="644" t="s">
        <v>1058</v>
      </c>
      <c r="K74" s="645">
        <v>56.31533863997597</v>
      </c>
      <c r="L74" s="645" t="s">
        <v>932</v>
      </c>
      <c r="M74" s="646"/>
      <c r="N74" s="647"/>
    </row>
    <row r="75" spans="1:14" ht="25" x14ac:dyDescent="0.25">
      <c r="A75" s="893" t="s">
        <v>682</v>
      </c>
      <c r="B75" s="648"/>
      <c r="C75" s="894" t="s">
        <v>699</v>
      </c>
      <c r="D75" s="648">
        <v>2007</v>
      </c>
      <c r="E75" s="895" t="s">
        <v>700</v>
      </c>
      <c r="F75" s="649"/>
      <c r="G75" s="648"/>
      <c r="H75" s="895" t="s">
        <v>864</v>
      </c>
      <c r="I75" s="845">
        <f>mmBTU_to_GJ</f>
        <v>1.0549999999999999</v>
      </c>
      <c r="J75" s="644" t="s">
        <v>1058</v>
      </c>
      <c r="K75" s="645">
        <v>56.31533863997597</v>
      </c>
      <c r="L75" s="645" t="s">
        <v>932</v>
      </c>
      <c r="M75" s="646"/>
      <c r="N75" s="647"/>
    </row>
    <row r="76" spans="1:14" ht="37.5" x14ac:dyDescent="0.25">
      <c r="A76" s="893" t="s">
        <v>683</v>
      </c>
      <c r="B76" s="648" t="s">
        <v>865</v>
      </c>
      <c r="C76" s="894" t="s">
        <v>699</v>
      </c>
      <c r="D76" s="648">
        <v>2007</v>
      </c>
      <c r="E76" s="895" t="s">
        <v>701</v>
      </c>
      <c r="F76" s="648"/>
      <c r="G76" s="648"/>
      <c r="H76" s="644" t="s">
        <v>296</v>
      </c>
      <c r="I76" s="845">
        <f>1/MJ_to_kWh/1000</f>
        <v>3.5999999999999995E-3</v>
      </c>
      <c r="J76" s="644" t="s">
        <v>1071</v>
      </c>
      <c r="K76" s="645">
        <v>0</v>
      </c>
      <c r="L76" s="645" t="s">
        <v>932</v>
      </c>
      <c r="M76" s="646"/>
      <c r="N76" s="647"/>
    </row>
    <row r="77" spans="1:14" ht="37.5" x14ac:dyDescent="0.25">
      <c r="A77" s="893" t="s">
        <v>698</v>
      </c>
      <c r="B77" s="648" t="s">
        <v>865</v>
      </c>
      <c r="C77" s="894" t="s">
        <v>699</v>
      </c>
      <c r="D77" s="648">
        <v>2007</v>
      </c>
      <c r="E77" s="895" t="s">
        <v>701</v>
      </c>
      <c r="F77" s="648"/>
      <c r="G77" s="648"/>
      <c r="H77" s="644" t="s">
        <v>296</v>
      </c>
      <c r="I77" s="845">
        <f>1/MJ_to_kWh/1000</f>
        <v>3.5999999999999995E-3</v>
      </c>
      <c r="J77" s="644" t="s">
        <v>1071</v>
      </c>
      <c r="K77" s="645">
        <v>0</v>
      </c>
      <c r="L77" s="645" t="s">
        <v>932</v>
      </c>
      <c r="M77" s="646"/>
      <c r="N77" s="647"/>
    </row>
    <row r="78" spans="1:14" ht="37.5" x14ac:dyDescent="0.25">
      <c r="A78" s="893" t="s">
        <v>684</v>
      </c>
      <c r="B78" s="648" t="s">
        <v>865</v>
      </c>
      <c r="C78" s="894" t="s">
        <v>699</v>
      </c>
      <c r="D78" s="648">
        <v>2007</v>
      </c>
      <c r="E78" s="895" t="s">
        <v>701</v>
      </c>
      <c r="F78" s="648"/>
      <c r="G78" s="648"/>
      <c r="H78" s="644" t="s">
        <v>296</v>
      </c>
      <c r="I78" s="845">
        <f>1/MJ_to_kWh/1000</f>
        <v>3.5999999999999995E-3</v>
      </c>
      <c r="J78" s="644" t="s">
        <v>1071</v>
      </c>
      <c r="K78" s="645">
        <v>0</v>
      </c>
      <c r="L78" s="645" t="s">
        <v>932</v>
      </c>
      <c r="M78" s="646"/>
      <c r="N78" s="647"/>
    </row>
    <row r="79" spans="1:14" ht="37.5" x14ac:dyDescent="0.25">
      <c r="A79" s="893" t="s">
        <v>1087</v>
      </c>
      <c r="B79" s="648" t="s">
        <v>865</v>
      </c>
      <c r="C79" s="894" t="s">
        <v>699</v>
      </c>
      <c r="D79" s="648">
        <v>2007</v>
      </c>
      <c r="E79" s="895" t="s">
        <v>700</v>
      </c>
      <c r="F79" s="649"/>
      <c r="G79" s="648"/>
      <c r="H79" s="644" t="s">
        <v>268</v>
      </c>
      <c r="I79" s="845">
        <f>$C$42/2000/lb_to_kg/1000000*mmBTU_to_GJ</f>
        <v>2.2735034516249999E-2</v>
      </c>
      <c r="J79" s="644" t="s">
        <v>1052</v>
      </c>
      <c r="K79" s="645">
        <v>102.75287348239476</v>
      </c>
      <c r="L79" s="645" t="s">
        <v>932</v>
      </c>
      <c r="M79" s="646"/>
      <c r="N79" s="647"/>
    </row>
    <row r="80" spans="1:14" ht="37.5" x14ac:dyDescent="0.25">
      <c r="A80" s="893" t="s">
        <v>716</v>
      </c>
      <c r="B80" s="648" t="s">
        <v>865</v>
      </c>
      <c r="C80" s="894" t="s">
        <v>699</v>
      </c>
      <c r="D80" s="648">
        <v>2007</v>
      </c>
      <c r="E80" s="895" t="s">
        <v>700</v>
      </c>
      <c r="F80" s="649"/>
      <c r="G80" s="648"/>
      <c r="H80" s="644" t="s">
        <v>268</v>
      </c>
      <c r="I80" s="845">
        <f>$C$42/2000/lb_to_kg/1000000*mmBTU_to_GJ</f>
        <v>2.2735034516249999E-2</v>
      </c>
      <c r="J80" s="644" t="s">
        <v>1052</v>
      </c>
      <c r="K80" s="645">
        <v>102.75287348239476</v>
      </c>
      <c r="L80" s="645" t="s">
        <v>932</v>
      </c>
      <c r="M80" s="646"/>
      <c r="N80" s="647"/>
    </row>
    <row r="81" spans="1:14" ht="37.5" x14ac:dyDescent="0.25">
      <c r="A81" s="893" t="s">
        <v>717</v>
      </c>
      <c r="B81" s="648" t="s">
        <v>865</v>
      </c>
      <c r="C81" s="894" t="s">
        <v>699</v>
      </c>
      <c r="D81" s="648">
        <v>2007</v>
      </c>
      <c r="E81" s="895" t="s">
        <v>700</v>
      </c>
      <c r="F81" s="649"/>
      <c r="G81" s="648"/>
      <c r="H81" s="644" t="s">
        <v>268</v>
      </c>
      <c r="I81" s="845">
        <f>$C$42/2000/lb_to_kg/1000000*mmBTU_to_GJ</f>
        <v>2.2735034516249999E-2</v>
      </c>
      <c r="J81" s="644" t="s">
        <v>1052</v>
      </c>
      <c r="K81" s="645">
        <v>102.75287348239476</v>
      </c>
      <c r="L81" s="645" t="s">
        <v>932</v>
      </c>
      <c r="M81" s="646"/>
      <c r="N81" s="647"/>
    </row>
    <row r="82" spans="1:14" ht="37.5" x14ac:dyDescent="0.25">
      <c r="A82" s="893" t="s">
        <v>912</v>
      </c>
      <c r="B82" s="648" t="s">
        <v>865</v>
      </c>
      <c r="C82" s="894" t="s">
        <v>699</v>
      </c>
      <c r="D82" s="648">
        <v>2007</v>
      </c>
      <c r="E82" s="895" t="s">
        <v>700</v>
      </c>
      <c r="F82" s="649"/>
      <c r="G82" s="648"/>
      <c r="H82" s="644" t="s">
        <v>269</v>
      </c>
      <c r="I82" s="845">
        <f>$C$14/gal_to_liters*mmBTU_to_GJ/1000000</f>
        <v>3.5803104359313075E-2</v>
      </c>
      <c r="J82" s="644" t="s">
        <v>1058</v>
      </c>
      <c r="K82" s="645">
        <v>74.122324937568308</v>
      </c>
      <c r="L82" s="645" t="s">
        <v>932</v>
      </c>
      <c r="M82" s="646"/>
      <c r="N82" s="647"/>
    </row>
    <row r="83" spans="1:14" ht="37.5" x14ac:dyDescent="0.25">
      <c r="A83" s="893" t="s">
        <v>910</v>
      </c>
      <c r="B83" s="648" t="s">
        <v>865</v>
      </c>
      <c r="C83" s="894" t="s">
        <v>699</v>
      </c>
      <c r="D83" s="648">
        <v>2007</v>
      </c>
      <c r="E83" s="895" t="s">
        <v>700</v>
      </c>
      <c r="F83" s="649"/>
      <c r="G83" s="648"/>
      <c r="H83" s="644" t="s">
        <v>269</v>
      </c>
      <c r="I83" s="845">
        <f>$Q$14/gal_to_liters*mmBTU_to_GJ/1000000</f>
        <v>2.4157130779392338E-2</v>
      </c>
      <c r="J83" s="644" t="s">
        <v>1052</v>
      </c>
      <c r="K83" s="645">
        <v>71.019041167591709</v>
      </c>
      <c r="L83" s="645" t="s">
        <v>932</v>
      </c>
      <c r="M83" s="646"/>
      <c r="N83" s="647"/>
    </row>
    <row r="84" spans="1:14" ht="37.5" x14ac:dyDescent="0.25">
      <c r="A84" s="893" t="s">
        <v>913</v>
      </c>
      <c r="B84" s="648" t="s">
        <v>865</v>
      </c>
      <c r="C84" s="894" t="s">
        <v>699</v>
      </c>
      <c r="D84" s="648">
        <v>2007</v>
      </c>
      <c r="E84" s="895" t="s">
        <v>700</v>
      </c>
      <c r="F84" s="649"/>
      <c r="G84" s="648"/>
      <c r="H84" s="644" t="s">
        <v>269</v>
      </c>
      <c r="I84" s="845">
        <f>$C$11/gal_to_liters*mmBTU_to_GJ/1000000</f>
        <v>3.2357978863936591E-2</v>
      </c>
      <c r="J84" s="644" t="s">
        <v>1052</v>
      </c>
      <c r="K84" s="645">
        <v>72.833307273582633</v>
      </c>
      <c r="L84" s="645" t="s">
        <v>932</v>
      </c>
      <c r="M84" s="646"/>
      <c r="N84" s="647"/>
    </row>
    <row r="85" spans="1:14" ht="275" x14ac:dyDescent="0.25">
      <c r="A85" s="893" t="s">
        <v>1081</v>
      </c>
      <c r="B85" s="844" t="s">
        <v>437</v>
      </c>
      <c r="C85" s="894" t="s">
        <v>699</v>
      </c>
      <c r="D85" s="648">
        <v>2007</v>
      </c>
      <c r="E85" s="895" t="s">
        <v>701</v>
      </c>
      <c r="F85" s="649"/>
      <c r="G85" s="648"/>
      <c r="H85" s="644" t="s">
        <v>268</v>
      </c>
      <c r="I85" s="845">
        <f>$E$45/1000</f>
        <v>1.9551069237418006E-2</v>
      </c>
      <c r="J85" s="644" t="s">
        <v>1052</v>
      </c>
      <c r="K85" s="645">
        <v>97.876597052612851</v>
      </c>
      <c r="L85" s="645" t="s">
        <v>932</v>
      </c>
      <c r="M85" s="646"/>
      <c r="N85" s="647"/>
    </row>
    <row r="86" spans="1:14" x14ac:dyDescent="0.25">
      <c r="A86" s="893" t="s">
        <v>815</v>
      </c>
      <c r="B86" s="844"/>
      <c r="C86" s="894"/>
      <c r="D86" s="648"/>
      <c r="E86" s="895" t="s">
        <v>701</v>
      </c>
      <c r="F86" s="649"/>
      <c r="G86" s="648"/>
      <c r="H86" s="644" t="s">
        <v>268</v>
      </c>
      <c r="I86" s="845">
        <f>$E$45/1000</f>
        <v>1.9551069237418006E-2</v>
      </c>
      <c r="J86" s="644" t="s">
        <v>1052</v>
      </c>
      <c r="K86" s="645">
        <v>97.876597052612851</v>
      </c>
      <c r="L86" s="645" t="s">
        <v>932</v>
      </c>
      <c r="M86" s="646"/>
      <c r="N86" s="647"/>
    </row>
    <row r="87" spans="1:14" ht="75" x14ac:dyDescent="0.25">
      <c r="A87" s="893" t="s">
        <v>824</v>
      </c>
      <c r="B87" s="995" t="s">
        <v>832</v>
      </c>
      <c r="C87" s="894"/>
      <c r="D87" s="648"/>
      <c r="E87" s="895" t="s">
        <v>701</v>
      </c>
      <c r="F87" s="649"/>
      <c r="G87" s="648"/>
      <c r="H87" s="644" t="s">
        <v>268</v>
      </c>
      <c r="I87" s="845">
        <f>18.608/1000</f>
        <v>1.8608E-2</v>
      </c>
      <c r="J87" s="644" t="s">
        <v>1052</v>
      </c>
      <c r="K87" s="645">
        <v>97.876597052612851</v>
      </c>
      <c r="L87" s="645" t="s">
        <v>932</v>
      </c>
      <c r="M87" s="646"/>
      <c r="N87" s="647"/>
    </row>
    <row r="88" spans="1:14" ht="75" x14ac:dyDescent="0.25">
      <c r="A88" s="893" t="s">
        <v>1088</v>
      </c>
      <c r="B88" s="648" t="s">
        <v>1089</v>
      </c>
      <c r="C88" s="894" t="s">
        <v>699</v>
      </c>
      <c r="D88" s="648">
        <v>2007</v>
      </c>
      <c r="E88" s="895" t="s">
        <v>701</v>
      </c>
      <c r="F88" s="649"/>
      <c r="G88" s="648"/>
      <c r="H88" s="644" t="s">
        <v>268</v>
      </c>
      <c r="I88" s="845">
        <v>2.8300000000000001E-3</v>
      </c>
      <c r="J88" s="644" t="s">
        <v>1071</v>
      </c>
      <c r="K88" s="645">
        <v>0</v>
      </c>
      <c r="L88" s="645" t="s">
        <v>932</v>
      </c>
      <c r="M88" s="646"/>
      <c r="N88" s="647"/>
    </row>
    <row r="90" spans="1:14" ht="13" thickBot="1" x14ac:dyDescent="0.3"/>
    <row r="91" spans="1:14" ht="33.75" customHeight="1" thickTop="1" x14ac:dyDescent="0.3">
      <c r="A91" s="1683" t="s">
        <v>992</v>
      </c>
      <c r="B91" s="1684"/>
      <c r="D91" s="1683" t="s">
        <v>685</v>
      </c>
      <c r="E91" s="1684"/>
      <c r="G91" s="1683" t="s">
        <v>686</v>
      </c>
      <c r="H91" s="1684"/>
      <c r="K91" s="1694" t="s">
        <v>688</v>
      </c>
      <c r="L91" s="1695"/>
    </row>
    <row r="92" spans="1:14" ht="41.25" customHeight="1" thickBot="1" x14ac:dyDescent="0.3">
      <c r="A92" s="1232" t="s">
        <v>1100</v>
      </c>
      <c r="B92" s="1046"/>
      <c r="D92" s="1681" t="s">
        <v>687</v>
      </c>
      <c r="E92" s="1682"/>
      <c r="G92" s="1232" t="s">
        <v>1101</v>
      </c>
      <c r="H92" s="1046"/>
      <c r="K92" s="1681" t="s">
        <v>689</v>
      </c>
      <c r="L92" s="1682"/>
      <c r="N92" s="1301"/>
    </row>
    <row r="93" spans="1:14" ht="14" x14ac:dyDescent="0.3">
      <c r="A93" s="30" t="s">
        <v>1084</v>
      </c>
      <c r="B93" s="31" t="s">
        <v>1092</v>
      </c>
      <c r="D93" s="30" t="s">
        <v>1084</v>
      </c>
      <c r="E93" s="31" t="s">
        <v>1092</v>
      </c>
      <c r="G93" s="30" t="s">
        <v>1084</v>
      </c>
      <c r="H93" s="31" t="s">
        <v>1092</v>
      </c>
      <c r="K93" s="30" t="s">
        <v>1084</v>
      </c>
      <c r="L93" s="31" t="s">
        <v>1092</v>
      </c>
    </row>
    <row r="94" spans="1:14" ht="28.5" customHeight="1" x14ac:dyDescent="0.25">
      <c r="A94" s="1043">
        <v>1992</v>
      </c>
      <c r="B94" s="1044">
        <v>70.563999999999993</v>
      </c>
      <c r="C94" s="865"/>
      <c r="D94" s="1235">
        <v>1992</v>
      </c>
      <c r="E94" s="1236">
        <v>358.2</v>
      </c>
      <c r="F94" s="1306"/>
      <c r="G94" s="1235">
        <v>1992</v>
      </c>
      <c r="H94" s="1238">
        <v>13.7</v>
      </c>
      <c r="K94" s="1235">
        <v>1980</v>
      </c>
      <c r="L94" s="1239">
        <v>55.195749555178075</v>
      </c>
    </row>
    <row r="95" spans="1:14" x14ac:dyDescent="0.25">
      <c r="A95" s="1043">
        <v>1993</v>
      </c>
      <c r="B95" s="1044">
        <v>72.244</v>
      </c>
      <c r="D95" s="1235">
        <v>1993</v>
      </c>
      <c r="E95" s="1236">
        <v>359.2</v>
      </c>
      <c r="F95" s="1306"/>
      <c r="G95" s="1235">
        <v>1993</v>
      </c>
      <c r="H95" s="1238">
        <v>13.97</v>
      </c>
      <c r="K95" s="1235">
        <v>1981</v>
      </c>
      <c r="L95" s="1239">
        <v>61.025412991342954</v>
      </c>
    </row>
    <row r="96" spans="1:14" x14ac:dyDescent="0.25">
      <c r="A96" s="1043">
        <v>1994</v>
      </c>
      <c r="B96" s="1044">
        <v>73.781000000000006</v>
      </c>
      <c r="D96" s="1235">
        <v>1994</v>
      </c>
      <c r="E96" s="1236">
        <v>368.1</v>
      </c>
      <c r="F96" s="1306"/>
      <c r="G96" s="1235">
        <v>1994</v>
      </c>
      <c r="H96" s="1238">
        <v>14.33</v>
      </c>
      <c r="K96" s="1235">
        <v>1982</v>
      </c>
      <c r="L96" s="1239">
        <v>62.017696129413558</v>
      </c>
    </row>
    <row r="97" spans="1:15" x14ac:dyDescent="0.25">
      <c r="A97" s="1043">
        <v>1995</v>
      </c>
      <c r="B97" s="1044">
        <v>75.320999999999998</v>
      </c>
      <c r="D97" s="1235">
        <v>1995</v>
      </c>
      <c r="E97" s="1236">
        <v>381.1</v>
      </c>
      <c r="F97" s="1306"/>
      <c r="G97" s="1235">
        <v>1995</v>
      </c>
      <c r="H97" s="1238">
        <v>14.86</v>
      </c>
      <c r="K97" s="1235">
        <v>1983</v>
      </c>
      <c r="L97" s="1239">
        <v>62.203749217801807</v>
      </c>
    </row>
    <row r="98" spans="1:15" x14ac:dyDescent="0.25">
      <c r="A98" s="1043">
        <v>1996</v>
      </c>
      <c r="B98" s="1044">
        <v>76.694999999999993</v>
      </c>
      <c r="D98" s="1235">
        <v>1996</v>
      </c>
      <c r="E98" s="1236">
        <v>381.7</v>
      </c>
      <c r="F98" s="1306"/>
      <c r="G98" s="1235">
        <v>1996</v>
      </c>
      <c r="H98" s="1238">
        <v>15.37</v>
      </c>
      <c r="K98" s="1235">
        <v>1984</v>
      </c>
      <c r="L98" s="1239">
        <v>63.81620931716656</v>
      </c>
    </row>
    <row r="99" spans="1:15" x14ac:dyDescent="0.25">
      <c r="A99" s="1043">
        <v>1997</v>
      </c>
      <c r="B99" s="1044">
        <v>78.009</v>
      </c>
      <c r="D99" s="1235">
        <v>1997</v>
      </c>
      <c r="E99" s="1236">
        <v>386.5</v>
      </c>
      <c r="F99" s="1306"/>
      <c r="G99" s="1235">
        <v>1997</v>
      </c>
      <c r="H99" s="1238">
        <v>15.78</v>
      </c>
      <c r="K99" s="1235">
        <v>1985</v>
      </c>
      <c r="L99" s="1239">
        <v>64.262922782386738</v>
      </c>
      <c r="M99" s="1303"/>
    </row>
    <row r="100" spans="1:15" x14ac:dyDescent="0.25">
      <c r="A100" s="1043">
        <v>1998</v>
      </c>
      <c r="B100" s="1044">
        <v>78.855000000000004</v>
      </c>
      <c r="D100" s="1235">
        <v>1998</v>
      </c>
      <c r="E100" s="1236">
        <v>389.5</v>
      </c>
      <c r="F100" s="1306"/>
      <c r="G100" s="1235">
        <v>1998</v>
      </c>
      <c r="H100" s="1238">
        <v>16.23</v>
      </c>
      <c r="K100" s="1235">
        <v>1986</v>
      </c>
      <c r="L100" s="1239">
        <v>64.135290363752389</v>
      </c>
      <c r="M100" s="1303"/>
      <c r="N100" s="1304"/>
      <c r="O100" s="1304"/>
    </row>
    <row r="101" spans="1:15" x14ac:dyDescent="0.25">
      <c r="A101" s="1043">
        <v>1999</v>
      </c>
      <c r="B101" s="1044">
        <v>80.061000000000007</v>
      </c>
      <c r="D101" s="1235">
        <v>1999</v>
      </c>
      <c r="E101" s="1236">
        <v>390.6</v>
      </c>
      <c r="F101" s="1306"/>
      <c r="G101" s="1235">
        <v>1999</v>
      </c>
      <c r="H101" s="1238">
        <v>16.399999999999999</v>
      </c>
      <c r="K101" s="1235">
        <v>1987</v>
      </c>
      <c r="L101" s="1239">
        <v>66.11359285258456</v>
      </c>
      <c r="M101" s="1303"/>
      <c r="N101" s="1304"/>
      <c r="O101" s="1304"/>
    </row>
    <row r="102" spans="1:15" x14ac:dyDescent="0.25">
      <c r="A102" s="1043">
        <v>2000</v>
      </c>
      <c r="B102" s="1044">
        <v>81.882999999999996</v>
      </c>
      <c r="D102" s="1235">
        <v>2000</v>
      </c>
      <c r="E102" s="1236">
        <v>394.1</v>
      </c>
      <c r="F102" s="1306"/>
      <c r="G102" s="1235">
        <v>2000</v>
      </c>
      <c r="H102" s="1238">
        <v>17.09</v>
      </c>
      <c r="K102" s="1235">
        <v>1988</v>
      </c>
      <c r="L102" s="1239">
        <v>72.112316528398225</v>
      </c>
      <c r="M102" s="1303"/>
      <c r="N102" s="1304"/>
      <c r="O102" s="1304"/>
    </row>
    <row r="103" spans="1:15" x14ac:dyDescent="0.25">
      <c r="A103" s="1043">
        <v>2001</v>
      </c>
      <c r="B103" s="1044">
        <v>83.753</v>
      </c>
      <c r="D103" s="1235">
        <v>2001</v>
      </c>
      <c r="E103" s="1236">
        <v>394.3</v>
      </c>
      <c r="F103" s="1306"/>
      <c r="G103" s="1235">
        <v>2001</v>
      </c>
      <c r="H103" s="1238">
        <v>17.57</v>
      </c>
      <c r="K103" s="1235">
        <v>1989</v>
      </c>
      <c r="L103" s="1239">
        <v>76.324186343331206</v>
      </c>
      <c r="M103" s="1303"/>
      <c r="N103" s="1304"/>
      <c r="O103" s="1304"/>
    </row>
    <row r="104" spans="1:15" x14ac:dyDescent="0.25">
      <c r="A104" s="1043">
        <v>2002</v>
      </c>
      <c r="B104" s="1044">
        <v>85.037999999999997</v>
      </c>
      <c r="D104" s="1235">
        <v>2002</v>
      </c>
      <c r="E104" s="1236">
        <v>395.6</v>
      </c>
      <c r="F104" s="1306"/>
      <c r="G104" s="1235">
        <v>2002</v>
      </c>
      <c r="H104" s="1238">
        <v>17.97</v>
      </c>
      <c r="K104" s="1235">
        <v>1990</v>
      </c>
      <c r="L104" s="1239">
        <v>77.217613273771548</v>
      </c>
      <c r="M104" s="1303"/>
      <c r="N104" s="1304"/>
      <c r="O104" s="1304"/>
    </row>
    <row r="105" spans="1:15" x14ac:dyDescent="0.25">
      <c r="A105" s="1043">
        <v>2003</v>
      </c>
      <c r="B105" s="1044">
        <v>86.728999999999999</v>
      </c>
      <c r="D105" s="1235">
        <v>2003</v>
      </c>
      <c r="E105" s="1236">
        <v>402</v>
      </c>
      <c r="F105" s="1306"/>
      <c r="G105" s="1235">
        <v>2003</v>
      </c>
      <c r="H105" s="1238">
        <v>18.5</v>
      </c>
      <c r="K105" s="1235">
        <v>1991</v>
      </c>
      <c r="L105" s="1239">
        <v>79.38736439055522</v>
      </c>
      <c r="M105" s="1303"/>
      <c r="N105" s="1304"/>
      <c r="O105" s="1304"/>
    </row>
    <row r="106" spans="1:15" x14ac:dyDescent="0.25">
      <c r="A106" s="1043">
        <v>2004</v>
      </c>
      <c r="B106" s="1044">
        <v>89.114000000000004</v>
      </c>
      <c r="D106" s="1235">
        <v>2004</v>
      </c>
      <c r="E106" s="1236">
        <v>444.2</v>
      </c>
      <c r="F106" s="1306"/>
      <c r="G106" s="1235">
        <v>2004</v>
      </c>
      <c r="H106" s="1238">
        <v>19.170000000000002</v>
      </c>
      <c r="K106" s="1235">
        <v>1992</v>
      </c>
      <c r="L106" s="1240">
        <v>80.280791320995533</v>
      </c>
      <c r="M106" s="1303"/>
      <c r="N106" s="1304"/>
      <c r="O106" s="1304"/>
    </row>
    <row r="107" spans="1:15" ht="13" x14ac:dyDescent="0.3">
      <c r="A107" s="1043">
        <v>2005</v>
      </c>
      <c r="B107" s="1044">
        <v>91.980999999999995</v>
      </c>
      <c r="D107" s="1235">
        <v>2005</v>
      </c>
      <c r="E107" s="1236">
        <v>468.2</v>
      </c>
      <c r="F107" s="1306"/>
      <c r="G107" s="1235">
        <v>2005</v>
      </c>
      <c r="H107" s="1396">
        <v>19.670000000000002</v>
      </c>
      <c r="K107" s="1235">
        <v>1993</v>
      </c>
      <c r="L107" s="1240">
        <v>81.174218251435875</v>
      </c>
      <c r="M107" s="1303"/>
      <c r="N107" s="1304"/>
      <c r="O107" s="1304"/>
    </row>
    <row r="108" spans="1:15" x14ac:dyDescent="0.25">
      <c r="A108" s="1043">
        <v>2006</v>
      </c>
      <c r="B108" s="1044">
        <v>94.811999999999998</v>
      </c>
      <c r="D108" s="1235">
        <v>2006</v>
      </c>
      <c r="E108" s="1236">
        <v>499.6</v>
      </c>
      <c r="F108" s="1306"/>
      <c r="G108" s="1235">
        <v>2006</v>
      </c>
      <c r="H108" s="1238">
        <v>19.600000000000001</v>
      </c>
      <c r="K108" s="1235">
        <v>1994</v>
      </c>
      <c r="L108" s="1240">
        <v>82.961072112316543</v>
      </c>
      <c r="M108" s="1303"/>
      <c r="N108" s="1304"/>
      <c r="O108" s="1304"/>
    </row>
    <row r="109" spans="1:15" x14ac:dyDescent="0.25">
      <c r="A109" s="1043">
        <v>2007</v>
      </c>
      <c r="B109" s="1044">
        <v>97.334000000000003</v>
      </c>
      <c r="D109" s="1235">
        <v>2007</v>
      </c>
      <c r="E109" s="1236">
        <v>525.4</v>
      </c>
      <c r="F109" s="1335"/>
      <c r="G109" s="1235">
        <v>2007</v>
      </c>
      <c r="H109" s="1238">
        <v>19.55</v>
      </c>
      <c r="K109" s="1235">
        <v>1995</v>
      </c>
      <c r="L109" s="1240">
        <v>91.512444160816855</v>
      </c>
      <c r="M109" s="1303"/>
      <c r="N109" s="1304"/>
      <c r="O109" s="1304"/>
    </row>
    <row r="110" spans="1:15" x14ac:dyDescent="0.25">
      <c r="A110" s="1043">
        <v>2008</v>
      </c>
      <c r="B110" s="1044">
        <v>99.25</v>
      </c>
      <c r="D110" s="1235">
        <v>2008</v>
      </c>
      <c r="E110" s="1236">
        <v>575.4</v>
      </c>
      <c r="F110" s="1306"/>
      <c r="G110" s="1235">
        <v>2008</v>
      </c>
      <c r="H110" s="1238">
        <v>19.5</v>
      </c>
      <c r="K110" s="1235">
        <v>1996</v>
      </c>
      <c r="L110" s="1240">
        <v>93.044033184428855</v>
      </c>
      <c r="M110" s="1303"/>
      <c r="N110" s="1304"/>
      <c r="O110" s="1304"/>
    </row>
    <row r="111" spans="1:15" ht="14.5" x14ac:dyDescent="0.35">
      <c r="A111" s="1043">
        <v>2009</v>
      </c>
      <c r="B111" s="1233">
        <v>100</v>
      </c>
      <c r="D111" s="864">
        <v>2009</v>
      </c>
      <c r="E111" s="1236">
        <v>521.9</v>
      </c>
      <c r="F111" s="1306"/>
      <c r="G111" s="864">
        <v>2009</v>
      </c>
      <c r="H111" s="1047">
        <v>20.3</v>
      </c>
      <c r="K111" s="1235">
        <v>1997</v>
      </c>
      <c r="L111" s="1240">
        <v>93.873643905552015</v>
      </c>
      <c r="M111" s="1303"/>
      <c r="N111" s="1304"/>
      <c r="O111" s="1304"/>
    </row>
    <row r="112" spans="1:15" ht="14.5" x14ac:dyDescent="0.35">
      <c r="A112" s="1043">
        <v>2010</v>
      </c>
      <c r="B112" s="1233">
        <v>101.217</v>
      </c>
      <c r="D112" s="864">
        <v>2010</v>
      </c>
      <c r="E112" s="1236">
        <v>550.79999999999995</v>
      </c>
      <c r="F112" s="1306"/>
      <c r="G112" s="864">
        <v>2010</v>
      </c>
      <c r="H112" s="1047">
        <v>21.07</v>
      </c>
      <c r="K112" s="1235">
        <v>1998</v>
      </c>
      <c r="L112" s="1240">
        <v>94.894703254626677</v>
      </c>
      <c r="M112" s="1303"/>
      <c r="N112" s="1304"/>
      <c r="O112" s="1304"/>
    </row>
    <row r="113" spans="1:15" ht="14.5" x14ac:dyDescent="0.35">
      <c r="A113" s="1043">
        <v>2011</v>
      </c>
      <c r="B113" s="1233">
        <v>103.307</v>
      </c>
      <c r="D113" s="864">
        <v>2011</v>
      </c>
      <c r="E113" s="1236">
        <v>585.70000000000005</v>
      </c>
      <c r="F113" s="1306"/>
      <c r="G113" s="864">
        <v>2011</v>
      </c>
      <c r="H113" s="1047">
        <v>21.45</v>
      </c>
      <c r="K113" s="1235">
        <v>1999</v>
      </c>
      <c r="L113" s="1240">
        <v>95.532865347798349</v>
      </c>
      <c r="M113" s="1303"/>
      <c r="N113" s="1304"/>
      <c r="O113" s="1304"/>
    </row>
    <row r="114" spans="1:15" ht="14.5" x14ac:dyDescent="0.35">
      <c r="A114" s="1043">
        <v>2012</v>
      </c>
      <c r="B114" s="1233">
        <v>105.21299999999999</v>
      </c>
      <c r="D114" s="864">
        <v>2012</v>
      </c>
      <c r="E114" s="1236">
        <v>584.6</v>
      </c>
      <c r="F114" s="1306"/>
      <c r="G114" s="864">
        <v>2012</v>
      </c>
      <c r="H114" s="1047">
        <v>21.45</v>
      </c>
      <c r="K114" s="1235">
        <v>2000</v>
      </c>
      <c r="L114" s="1240">
        <v>100</v>
      </c>
      <c r="M114" s="1303"/>
      <c r="N114" s="1304"/>
      <c r="O114" s="1304"/>
    </row>
    <row r="115" spans="1:15" ht="14.5" x14ac:dyDescent="0.35">
      <c r="A115" s="1043">
        <v>2013</v>
      </c>
      <c r="B115" s="1233">
        <v>106.91</v>
      </c>
      <c r="D115" s="864">
        <v>2013</v>
      </c>
      <c r="E115" s="1236">
        <v>567.29999999999995</v>
      </c>
      <c r="F115" s="1306"/>
      <c r="G115" s="864">
        <v>2013</v>
      </c>
      <c r="H115" s="1047">
        <v>21.4</v>
      </c>
      <c r="K115" s="1235">
        <v>2001</v>
      </c>
      <c r="L115" s="1240">
        <v>101.08487555839186</v>
      </c>
      <c r="M115" s="1303"/>
      <c r="N115" s="1304"/>
      <c r="O115" s="1304"/>
    </row>
    <row r="116" spans="1:15" ht="14.5" x14ac:dyDescent="0.35">
      <c r="A116" s="1043">
        <v>2014</v>
      </c>
      <c r="B116" s="1233">
        <v>108.827</v>
      </c>
      <c r="D116" s="864">
        <v>2014</v>
      </c>
      <c r="E116" s="1236">
        <v>576.1</v>
      </c>
      <c r="F116" s="1306"/>
      <c r="G116" s="864">
        <v>2014</v>
      </c>
      <c r="H116" s="1047">
        <v>21.488333333333333</v>
      </c>
      <c r="K116" s="1235">
        <v>2002</v>
      </c>
      <c r="L116" s="1240">
        <v>100.38289725590302</v>
      </c>
      <c r="M116" s="1303"/>
      <c r="N116" s="1304"/>
      <c r="O116" s="1304"/>
    </row>
    <row r="117" spans="1:15" ht="14.5" x14ac:dyDescent="0.35">
      <c r="A117" s="1043">
        <v>2015</v>
      </c>
      <c r="B117" s="1233">
        <v>110.01</v>
      </c>
      <c r="D117" s="864">
        <v>2015</v>
      </c>
      <c r="E117" s="1236">
        <v>556.79999999999995</v>
      </c>
      <c r="F117" s="1306"/>
      <c r="G117" s="864">
        <v>2015</v>
      </c>
      <c r="H117" s="1047">
        <v>21.754999999999999</v>
      </c>
      <c r="K117" s="1235">
        <v>2003</v>
      </c>
      <c r="L117" s="1240">
        <v>105.04148053605616</v>
      </c>
      <c r="M117" s="1303"/>
      <c r="N117" s="1304"/>
      <c r="O117" s="1304"/>
    </row>
    <row r="118" spans="1:15" ht="15" thickBot="1" x14ac:dyDescent="0.4">
      <c r="A118" s="1043">
        <v>2016</v>
      </c>
      <c r="B118" s="1233">
        <v>111.41200000000001</v>
      </c>
      <c r="D118" s="866">
        <v>2016</v>
      </c>
      <c r="E118" s="1237">
        <v>541.70000000000005</v>
      </c>
      <c r="F118" s="1306"/>
      <c r="G118" s="866">
        <v>2016</v>
      </c>
      <c r="H118" s="1048">
        <v>22.714999999999993</v>
      </c>
      <c r="K118" s="1235">
        <v>2004</v>
      </c>
      <c r="L118" s="1240">
        <v>110.27440970006384</v>
      </c>
      <c r="M118" s="1303"/>
      <c r="N118" s="1304"/>
      <c r="O118" s="1304"/>
    </row>
    <row r="119" spans="1:15" ht="13.5" thickTop="1" thickBot="1" x14ac:dyDescent="0.3">
      <c r="A119" s="1045">
        <v>2017</v>
      </c>
      <c r="B119" s="1234">
        <v>112.854</v>
      </c>
      <c r="G119" s="305" t="s">
        <v>1102</v>
      </c>
      <c r="H119" s="305"/>
      <c r="K119" s="1235">
        <v>2005</v>
      </c>
      <c r="L119" s="1240">
        <v>119.52776005105299</v>
      </c>
      <c r="M119" s="1303"/>
      <c r="N119" s="1304"/>
      <c r="O119" s="1304"/>
    </row>
    <row r="120" spans="1:15" ht="13" thickTop="1" x14ac:dyDescent="0.25">
      <c r="K120" s="1235">
        <v>2006</v>
      </c>
      <c r="L120" s="1240">
        <v>125.5902999361838</v>
      </c>
      <c r="M120" s="1303"/>
      <c r="N120" s="1304"/>
      <c r="O120" s="1304"/>
    </row>
    <row r="121" spans="1:15" x14ac:dyDescent="0.25">
      <c r="K121" s="1235">
        <v>2007</v>
      </c>
      <c r="L121" s="1240">
        <v>129.73835354179963</v>
      </c>
      <c r="M121" s="1303"/>
      <c r="N121" s="1304"/>
      <c r="O121" s="1304"/>
    </row>
    <row r="122" spans="1:15" x14ac:dyDescent="0.25">
      <c r="K122" s="1235">
        <v>2008</v>
      </c>
      <c r="L122" s="1240">
        <v>145.6285896617741</v>
      </c>
      <c r="M122" s="1303"/>
      <c r="N122" s="1304"/>
      <c r="O122" s="1304"/>
    </row>
    <row r="123" spans="1:15" x14ac:dyDescent="0.25">
      <c r="K123" s="1235">
        <v>2009</v>
      </c>
      <c r="L123" s="1241">
        <v>143.39502233567327</v>
      </c>
      <c r="M123" s="1303"/>
      <c r="N123" s="1304"/>
      <c r="O123" s="1304"/>
    </row>
    <row r="124" spans="1:15" x14ac:dyDescent="0.25">
      <c r="K124" s="1235">
        <v>2010</v>
      </c>
      <c r="L124" s="1241">
        <v>149.13848117421827</v>
      </c>
      <c r="M124" s="1303"/>
      <c r="N124" s="1304"/>
      <c r="O124" s="1304"/>
    </row>
    <row r="125" spans="1:15" x14ac:dyDescent="0.25">
      <c r="K125" s="1235">
        <v>2011</v>
      </c>
      <c r="L125" s="1241">
        <v>160.8806636885769</v>
      </c>
      <c r="M125" s="1303"/>
      <c r="N125" s="1304"/>
      <c r="O125" s="1304"/>
    </row>
    <row r="126" spans="1:15" x14ac:dyDescent="0.25">
      <c r="K126" s="1235">
        <v>2012</v>
      </c>
      <c r="L126" s="1241">
        <v>166.11359285258459</v>
      </c>
      <c r="M126" s="1303"/>
      <c r="N126" s="1304"/>
      <c r="O126" s="1304"/>
    </row>
    <row r="127" spans="1:15" x14ac:dyDescent="0.25">
      <c r="K127" s="1235">
        <v>2013</v>
      </c>
      <c r="L127" s="1241">
        <v>168.41097638800255</v>
      </c>
      <c r="M127" s="1303"/>
      <c r="N127" s="1304"/>
      <c r="O127" s="1304"/>
    </row>
    <row r="128" spans="1:15" x14ac:dyDescent="0.25">
      <c r="K128" s="1235">
        <v>2014</v>
      </c>
      <c r="L128" s="1241">
        <v>171.79323548181239</v>
      </c>
      <c r="N128" s="1304"/>
      <c r="O128" s="1304"/>
    </row>
    <row r="129" spans="1:15" x14ac:dyDescent="0.25">
      <c r="K129" s="1235">
        <v>2015</v>
      </c>
      <c r="L129" s="1241">
        <v>168.98532227185709</v>
      </c>
      <c r="N129" s="1304"/>
      <c r="O129" s="1304"/>
    </row>
    <row r="130" spans="1:15" ht="13" thickBot="1" x14ac:dyDescent="0.3">
      <c r="K130" s="1242">
        <v>2016</v>
      </c>
      <c r="L130" s="1243">
        <v>170.4530950861519</v>
      </c>
      <c r="M130" s="1303"/>
      <c r="N130" s="1304"/>
      <c r="O130" s="1304"/>
    </row>
    <row r="131" spans="1:15" ht="13" thickTop="1" x14ac:dyDescent="0.25">
      <c r="K131" s="305" t="s">
        <v>1204</v>
      </c>
    </row>
    <row r="132" spans="1:15" ht="13" thickBot="1" x14ac:dyDescent="0.3">
      <c r="K132" s="305" t="s">
        <v>1231</v>
      </c>
    </row>
    <row r="133" spans="1:15" ht="28.5" thickBot="1" x14ac:dyDescent="0.35">
      <c r="A133" s="1439" t="s">
        <v>1103</v>
      </c>
      <c r="B133" s="1440"/>
      <c r="C133" s="1440"/>
      <c r="D133" s="1440"/>
      <c r="E133" s="1440"/>
      <c r="F133" s="1440"/>
      <c r="G133" s="1440"/>
      <c r="H133" s="1440"/>
      <c r="I133" s="1441"/>
    </row>
    <row r="134" spans="1:15" ht="52" x14ac:dyDescent="0.3">
      <c r="A134" s="1423"/>
      <c r="B134" s="606"/>
      <c r="C134" s="1688" t="s">
        <v>124</v>
      </c>
      <c r="D134" s="1688"/>
      <c r="E134" s="1688"/>
      <c r="F134" s="1689" t="s">
        <v>125</v>
      </c>
      <c r="G134" s="1688"/>
      <c r="H134" s="1690"/>
      <c r="I134" s="1424" t="s">
        <v>126</v>
      </c>
    </row>
    <row r="135" spans="1:15" ht="30" customHeight="1" thickBot="1" x14ac:dyDescent="0.35">
      <c r="A135" s="581" t="s">
        <v>127</v>
      </c>
      <c r="B135" s="607" t="s">
        <v>128</v>
      </c>
      <c r="C135" s="608" t="s">
        <v>129</v>
      </c>
      <c r="D135" s="608" t="s">
        <v>398</v>
      </c>
      <c r="E135" s="608" t="s">
        <v>399</v>
      </c>
      <c r="F135" s="581" t="s">
        <v>403</v>
      </c>
      <c r="G135" s="582" t="s">
        <v>404</v>
      </c>
      <c r="H135" s="583" t="s">
        <v>405</v>
      </c>
      <c r="I135" s="1425" t="s">
        <v>130</v>
      </c>
    </row>
    <row r="136" spans="1:15" x14ac:dyDescent="0.25">
      <c r="A136" s="1426" t="s">
        <v>1085</v>
      </c>
      <c r="B136" s="609" t="s">
        <v>131</v>
      </c>
      <c r="C136" s="846">
        <f t="shared" ref="C136:I145" si="8">+AVERAGEIFS(D$165:D$524,$B$165:$B$524,$A136,$C$165:$C$524,"&gt;="&amp;startup_year,$C$165:$C$524,"&lt;="&amp;(startup_year+anal_period))</f>
        <v>1092000</v>
      </c>
      <c r="D136" s="847">
        <f t="shared" si="8"/>
        <v>1092000</v>
      </c>
      <c r="E136" s="848">
        <f t="shared" si="8"/>
        <v>3971.5555555555557</v>
      </c>
      <c r="F136" s="849">
        <f t="shared" si="8"/>
        <v>5.74</v>
      </c>
      <c r="G136" s="849">
        <f t="shared" si="8"/>
        <v>0.18462200000000004</v>
      </c>
      <c r="H136" s="849">
        <f t="shared" si="8"/>
        <v>8.6102222222222209E-4</v>
      </c>
      <c r="I136" s="1427">
        <f t="shared" si="8"/>
        <v>11.566300000000002</v>
      </c>
    </row>
    <row r="137" spans="1:15" ht="16.5" customHeight="1" x14ac:dyDescent="0.25">
      <c r="A137" s="1428" t="s">
        <v>283</v>
      </c>
      <c r="B137" s="610" t="s">
        <v>131</v>
      </c>
      <c r="C137" s="850">
        <f t="shared" si="8"/>
        <v>1092000</v>
      </c>
      <c r="D137" s="851">
        <f t="shared" si="8"/>
        <v>1092000</v>
      </c>
      <c r="E137" s="852">
        <f t="shared" si="8"/>
        <v>3971.5555555555557</v>
      </c>
      <c r="F137" s="853">
        <f t="shared" si="8"/>
        <v>5.74</v>
      </c>
      <c r="G137" s="853">
        <f t="shared" si="8"/>
        <v>0.18462200000000004</v>
      </c>
      <c r="H137" s="853">
        <f t="shared" si="8"/>
        <v>8.6102222222222209E-4</v>
      </c>
      <c r="I137" s="1429">
        <f t="shared" si="8"/>
        <v>11.566300000000002</v>
      </c>
    </row>
    <row r="138" spans="1:15" x14ac:dyDescent="0.25">
      <c r="A138" s="1430" t="s">
        <v>1086</v>
      </c>
      <c r="B138" s="1418" t="s">
        <v>131</v>
      </c>
      <c r="C138" s="1419">
        <f t="shared" si="8"/>
        <v>1092000</v>
      </c>
      <c r="D138" s="1420">
        <f t="shared" si="8"/>
        <v>1092000</v>
      </c>
      <c r="E138" s="1421">
        <f t="shared" si="8"/>
        <v>3971.5555555555557</v>
      </c>
      <c r="F138" s="1422">
        <f t="shared" si="8"/>
        <v>5.74</v>
      </c>
      <c r="G138" s="1422">
        <f t="shared" si="8"/>
        <v>0.18462200000000004</v>
      </c>
      <c r="H138" s="1422">
        <f t="shared" si="8"/>
        <v>8.6102222222222209E-4</v>
      </c>
      <c r="I138" s="1431">
        <f t="shared" si="8"/>
        <v>11.566300000000002</v>
      </c>
    </row>
    <row r="139" spans="1:15" x14ac:dyDescent="0.25">
      <c r="A139" s="1428" t="s">
        <v>681</v>
      </c>
      <c r="B139" s="611" t="s">
        <v>131</v>
      </c>
      <c r="C139" s="851">
        <f t="shared" si="8"/>
        <v>1092000</v>
      </c>
      <c r="D139" s="851">
        <f t="shared" si="8"/>
        <v>1092000</v>
      </c>
      <c r="E139" s="851">
        <f t="shared" si="8"/>
        <v>3971.5555555555557</v>
      </c>
      <c r="F139" s="854">
        <f t="shared" si="8"/>
        <v>5.74</v>
      </c>
      <c r="G139" s="853">
        <f t="shared" si="8"/>
        <v>0.18462200000000004</v>
      </c>
      <c r="H139" s="855">
        <f t="shared" si="8"/>
        <v>8.6102222222222209E-4</v>
      </c>
      <c r="I139" s="1429">
        <f t="shared" si="8"/>
        <v>11.566300000000002</v>
      </c>
    </row>
    <row r="140" spans="1:15" x14ac:dyDescent="0.25">
      <c r="A140" s="1428" t="s">
        <v>682</v>
      </c>
      <c r="B140" s="611" t="s">
        <v>1295</v>
      </c>
      <c r="C140" s="851">
        <f t="shared" si="8"/>
        <v>-1185000</v>
      </c>
      <c r="D140" s="851">
        <f t="shared" si="8"/>
        <v>0</v>
      </c>
      <c r="E140" s="851">
        <f t="shared" si="8"/>
        <v>0</v>
      </c>
      <c r="F140" s="854">
        <f t="shared" si="8"/>
        <v>-85.800000000000011</v>
      </c>
      <c r="G140" s="853">
        <f t="shared" si="8"/>
        <v>0.54700000000000004</v>
      </c>
      <c r="H140" s="855">
        <f t="shared" si="8"/>
        <v>-1.8286999999999995E-3</v>
      </c>
      <c r="I140" s="1429">
        <f t="shared" si="8"/>
        <v>-70.08</v>
      </c>
    </row>
    <row r="141" spans="1:15" x14ac:dyDescent="0.25">
      <c r="A141" s="1428" t="s">
        <v>683</v>
      </c>
      <c r="B141" s="611" t="s">
        <v>132</v>
      </c>
      <c r="C141" s="851">
        <f t="shared" si="8"/>
        <v>1722555.5555555555</v>
      </c>
      <c r="D141" s="851">
        <f t="shared" si="8"/>
        <v>1293777.7777777778</v>
      </c>
      <c r="E141" s="851">
        <f t="shared" si="8"/>
        <v>15361.111111111111</v>
      </c>
      <c r="F141" s="854">
        <f t="shared" si="8"/>
        <v>125.73222222222223</v>
      </c>
      <c r="G141" s="853">
        <f t="shared" si="8"/>
        <v>0.20455800000000002</v>
      </c>
      <c r="H141" s="855">
        <f t="shared" si="8"/>
        <v>1.7955444444444446E-3</v>
      </c>
      <c r="I141" s="1429">
        <f t="shared" si="8"/>
        <v>130.52666666666664</v>
      </c>
    </row>
    <row r="142" spans="1:15" x14ac:dyDescent="0.25">
      <c r="A142" s="1428" t="s">
        <v>698</v>
      </c>
      <c r="B142" s="611" t="s">
        <v>132</v>
      </c>
      <c r="C142" s="851">
        <f t="shared" si="8"/>
        <v>1722555.5555555555</v>
      </c>
      <c r="D142" s="851">
        <f t="shared" si="8"/>
        <v>1293777.7777777778</v>
      </c>
      <c r="E142" s="851">
        <f t="shared" si="8"/>
        <v>15361.111111111111</v>
      </c>
      <c r="F142" s="854">
        <f t="shared" si="8"/>
        <v>125.73222222222223</v>
      </c>
      <c r="G142" s="853">
        <f t="shared" si="8"/>
        <v>0.20455800000000002</v>
      </c>
      <c r="H142" s="855">
        <f t="shared" si="8"/>
        <v>1.7955444444444446E-3</v>
      </c>
      <c r="I142" s="1429">
        <f t="shared" si="8"/>
        <v>130.52666666666664</v>
      </c>
    </row>
    <row r="143" spans="1:15" x14ac:dyDescent="0.25">
      <c r="A143" s="1428" t="s">
        <v>684</v>
      </c>
      <c r="B143" s="611" t="s">
        <v>132</v>
      </c>
      <c r="C143" s="851">
        <f t="shared" si="8"/>
        <v>1722555.5555555555</v>
      </c>
      <c r="D143" s="851">
        <f t="shared" si="8"/>
        <v>1293777.7777777778</v>
      </c>
      <c r="E143" s="851">
        <f t="shared" si="8"/>
        <v>15361.111111111111</v>
      </c>
      <c r="F143" s="854">
        <f t="shared" si="8"/>
        <v>125.73222222222223</v>
      </c>
      <c r="G143" s="853">
        <f t="shared" si="8"/>
        <v>0.20455800000000002</v>
      </c>
      <c r="H143" s="855">
        <f t="shared" si="8"/>
        <v>1.7955444444444446E-3</v>
      </c>
      <c r="I143" s="1429">
        <f t="shared" si="8"/>
        <v>130.52666666666664</v>
      </c>
    </row>
    <row r="144" spans="1:15" x14ac:dyDescent="0.25">
      <c r="A144" s="1428" t="s">
        <v>1087</v>
      </c>
      <c r="B144" s="611" t="s">
        <v>133</v>
      </c>
      <c r="C144" s="851">
        <f t="shared" si="8"/>
        <v>1022000</v>
      </c>
      <c r="D144" s="851">
        <f t="shared" si="8"/>
        <v>1021000</v>
      </c>
      <c r="E144" s="851">
        <f t="shared" si="8"/>
        <v>15510</v>
      </c>
      <c r="F144" s="854">
        <f t="shared" si="8"/>
        <v>1.6978444444444447</v>
      </c>
      <c r="G144" s="853">
        <f t="shared" si="8"/>
        <v>0.14096234111111108</v>
      </c>
      <c r="H144" s="855">
        <f t="shared" si="8"/>
        <v>3.279166666666666E-5</v>
      </c>
      <c r="I144" s="1429">
        <f t="shared" si="8"/>
        <v>5.9552888888888873</v>
      </c>
    </row>
    <row r="145" spans="1:9" x14ac:dyDescent="0.25">
      <c r="A145" s="1428" t="s">
        <v>716</v>
      </c>
      <c r="B145" s="611" t="s">
        <v>133</v>
      </c>
      <c r="C145" s="851">
        <f t="shared" si="8"/>
        <v>1022000</v>
      </c>
      <c r="D145" s="851">
        <f t="shared" si="8"/>
        <v>1021000</v>
      </c>
      <c r="E145" s="851">
        <f t="shared" si="8"/>
        <v>15510</v>
      </c>
      <c r="F145" s="854">
        <f t="shared" si="8"/>
        <v>1.6978444444444447</v>
      </c>
      <c r="G145" s="853">
        <f t="shared" si="8"/>
        <v>0.14096234111111108</v>
      </c>
      <c r="H145" s="855">
        <f t="shared" si="8"/>
        <v>3.279166666666666E-5</v>
      </c>
      <c r="I145" s="1429">
        <f t="shared" si="8"/>
        <v>5.9552888888888873</v>
      </c>
    </row>
    <row r="146" spans="1:9" x14ac:dyDescent="0.25">
      <c r="A146" s="1428" t="s">
        <v>717</v>
      </c>
      <c r="B146" s="611" t="s">
        <v>133</v>
      </c>
      <c r="C146" s="851">
        <f t="shared" ref="C146:I153" si="9">+AVERAGEIFS(D$165:D$524,$B$165:$B$524,$A146,$C$165:$C$524,"&gt;="&amp;startup_year,$C$165:$C$524,"&lt;="&amp;(startup_year+anal_period))</f>
        <v>1022000</v>
      </c>
      <c r="D146" s="851">
        <f t="shared" si="9"/>
        <v>1021000</v>
      </c>
      <c r="E146" s="851">
        <f t="shared" si="9"/>
        <v>15510</v>
      </c>
      <c r="F146" s="854">
        <f t="shared" si="9"/>
        <v>1.6978444444444447</v>
      </c>
      <c r="G146" s="853">
        <f t="shared" si="9"/>
        <v>0.14096234111111108</v>
      </c>
      <c r="H146" s="855">
        <f t="shared" si="9"/>
        <v>3.279166666666666E-5</v>
      </c>
      <c r="I146" s="1429">
        <f t="shared" si="9"/>
        <v>5.9552888888888873</v>
      </c>
    </row>
    <row r="147" spans="1:9" x14ac:dyDescent="0.25">
      <c r="A147" s="1428" t="s">
        <v>912</v>
      </c>
      <c r="B147" s="611" t="s">
        <v>134</v>
      </c>
      <c r="C147" s="851">
        <f t="shared" si="9"/>
        <v>1209000</v>
      </c>
      <c r="D147" s="851">
        <f t="shared" si="9"/>
        <v>1202000</v>
      </c>
      <c r="E147" s="851">
        <f t="shared" si="9"/>
        <v>1052000</v>
      </c>
      <c r="F147" s="854">
        <f t="shared" si="9"/>
        <v>17.978222222222218</v>
      </c>
      <c r="G147" s="853">
        <f t="shared" si="9"/>
        <v>0.1641276666666667</v>
      </c>
      <c r="H147" s="855">
        <f t="shared" si="9"/>
        <v>2.9047555555555561E-4</v>
      </c>
      <c r="I147" s="1429">
        <f t="shared" si="9"/>
        <v>22.99966666666667</v>
      </c>
    </row>
    <row r="148" spans="1:9" x14ac:dyDescent="0.25">
      <c r="A148" s="1428" t="s">
        <v>910</v>
      </c>
      <c r="B148" s="611" t="s">
        <v>1104</v>
      </c>
      <c r="C148" s="851">
        <f t="shared" si="9"/>
        <v>1585222.2222222222</v>
      </c>
      <c r="D148" s="851">
        <f t="shared" si="9"/>
        <v>696333.33333333337</v>
      </c>
      <c r="E148" s="851">
        <f t="shared" si="9"/>
        <v>286011.11111111112</v>
      </c>
      <c r="F148" s="854">
        <f t="shared" si="9"/>
        <v>38.073444444444448</v>
      </c>
      <c r="G148" s="853">
        <f t="shared" si="9"/>
        <v>0.1118</v>
      </c>
      <c r="H148" s="855">
        <f t="shared" si="9"/>
        <v>2.5350000000000004E-2</v>
      </c>
      <c r="I148" s="1429">
        <f t="shared" si="9"/>
        <v>45.206666666666663</v>
      </c>
    </row>
    <row r="149" spans="1:9" x14ac:dyDescent="0.25">
      <c r="A149" s="1428" t="s">
        <v>913</v>
      </c>
      <c r="B149" s="611" t="s">
        <v>134</v>
      </c>
      <c r="C149" s="851">
        <f t="shared" si="9"/>
        <v>1249111.111111111</v>
      </c>
      <c r="D149" s="851">
        <f t="shared" si="9"/>
        <v>1242000</v>
      </c>
      <c r="E149" s="851">
        <f t="shared" si="9"/>
        <v>1078000</v>
      </c>
      <c r="F149" s="854">
        <f t="shared" si="9"/>
        <v>23.850666666666669</v>
      </c>
      <c r="G149" s="853">
        <f t="shared" si="9"/>
        <v>0.16985744444444445</v>
      </c>
      <c r="H149" s="855">
        <f t="shared" si="9"/>
        <v>3.7835111111111111E-4</v>
      </c>
      <c r="I149" s="1429">
        <f t="shared" si="9"/>
        <v>29.169000000000008</v>
      </c>
    </row>
    <row r="150" spans="1:9" x14ac:dyDescent="0.25">
      <c r="A150" s="1428" t="s">
        <v>1081</v>
      </c>
      <c r="B150" s="611" t="s">
        <v>1296</v>
      </c>
      <c r="C150" s="851">
        <f t="shared" si="9"/>
        <v>1190000</v>
      </c>
      <c r="D150" s="851">
        <f t="shared" si="9"/>
        <v>51592.222222222219</v>
      </c>
      <c r="E150" s="851">
        <f t="shared" si="9"/>
        <v>29220</v>
      </c>
      <c r="F150" s="854">
        <f t="shared" si="9"/>
        <v>3.7602333333333329</v>
      </c>
      <c r="G150" s="853">
        <f t="shared" si="9"/>
        <v>8.4359666666666642E-3</v>
      </c>
      <c r="H150" s="855">
        <f t="shared" si="9"/>
        <v>-3.8261034444444448E-3</v>
      </c>
      <c r="I150" s="1429">
        <f t="shared" si="9"/>
        <v>3.0076888888888895</v>
      </c>
    </row>
    <row r="151" spans="1:9" x14ac:dyDescent="0.25">
      <c r="A151" s="1428" t="s">
        <v>815</v>
      </c>
      <c r="B151" s="611" t="s">
        <v>1296</v>
      </c>
      <c r="C151" s="851">
        <f t="shared" si="9"/>
        <v>1190000</v>
      </c>
      <c r="D151" s="851">
        <f t="shared" si="9"/>
        <v>51592.222222222219</v>
      </c>
      <c r="E151" s="851">
        <f t="shared" si="9"/>
        <v>29220</v>
      </c>
      <c r="F151" s="854">
        <f t="shared" si="9"/>
        <v>3.7602333333333329</v>
      </c>
      <c r="G151" s="853">
        <f t="shared" si="9"/>
        <v>8.4359666666666642E-3</v>
      </c>
      <c r="H151" s="855">
        <f t="shared" si="9"/>
        <v>-3.8261034444444448E-3</v>
      </c>
      <c r="I151" s="1429">
        <f t="shared" si="9"/>
        <v>3.0076888888888895</v>
      </c>
    </row>
    <row r="152" spans="1:9" x14ac:dyDescent="0.25">
      <c r="A152" s="1428" t="s">
        <v>824</v>
      </c>
      <c r="B152" s="611" t="s">
        <v>1296</v>
      </c>
      <c r="C152" s="851">
        <f t="shared" si="9"/>
        <v>1190000</v>
      </c>
      <c r="D152" s="851">
        <f t="shared" si="9"/>
        <v>51592.222222222219</v>
      </c>
      <c r="E152" s="851">
        <f t="shared" si="9"/>
        <v>29220</v>
      </c>
      <c r="F152" s="854">
        <f t="shared" si="9"/>
        <v>3.7602333333333329</v>
      </c>
      <c r="G152" s="853">
        <f t="shared" si="9"/>
        <v>8.4359666666666642E-3</v>
      </c>
      <c r="H152" s="855">
        <f t="shared" si="9"/>
        <v>-3.8261034444444448E-3</v>
      </c>
      <c r="I152" s="1429">
        <f t="shared" si="9"/>
        <v>3.0076888888888895</v>
      </c>
    </row>
    <row r="153" spans="1:9" ht="13" thickBot="1" x14ac:dyDescent="0.3">
      <c r="A153" s="1432" t="s">
        <v>1088</v>
      </c>
      <c r="B153" s="1433" t="s">
        <v>1297</v>
      </c>
      <c r="C153" s="1434">
        <f t="shared" si="9"/>
        <v>1384000</v>
      </c>
      <c r="D153" s="1434">
        <f t="shared" si="9"/>
        <v>1383000</v>
      </c>
      <c r="E153" s="1434">
        <f t="shared" si="9"/>
        <v>5034</v>
      </c>
      <c r="F153" s="1435">
        <f t="shared" si="9"/>
        <v>78.571100000000001</v>
      </c>
      <c r="G153" s="1436">
        <f t="shared" si="9"/>
        <v>0.27494000000000002</v>
      </c>
      <c r="H153" s="1437">
        <f t="shared" si="9"/>
        <v>2.3304000000000003E-3</v>
      </c>
      <c r="I153" s="1438">
        <f t="shared" si="9"/>
        <v>87.59429999999999</v>
      </c>
    </row>
    <row r="162" spans="2:10" ht="13" thickBot="1" x14ac:dyDescent="0.3">
      <c r="B162" s="305" t="s">
        <v>1294</v>
      </c>
    </row>
    <row r="163" spans="2:10" ht="37.5" x14ac:dyDescent="0.25">
      <c r="D163" s="1400" t="s">
        <v>124</v>
      </c>
      <c r="E163" s="1401"/>
      <c r="F163" s="1402"/>
      <c r="G163" s="1400" t="s">
        <v>125</v>
      </c>
      <c r="H163" s="1401"/>
      <c r="I163" s="1401"/>
      <c r="J163" s="1402" t="s">
        <v>126</v>
      </c>
    </row>
    <row r="164" spans="2:10" ht="13.5" thickBot="1" x14ac:dyDescent="0.35">
      <c r="B164" s="1" t="s">
        <v>248</v>
      </c>
      <c r="C164" s="1" t="s">
        <v>1084</v>
      </c>
      <c r="D164" s="1403" t="s">
        <v>129</v>
      </c>
      <c r="E164" s="1404" t="s">
        <v>398</v>
      </c>
      <c r="F164" s="1405" t="s">
        <v>399</v>
      </c>
      <c r="G164" s="1403" t="s">
        <v>403</v>
      </c>
      <c r="H164" s="1404" t="s">
        <v>404</v>
      </c>
      <c r="I164" s="1404" t="s">
        <v>405</v>
      </c>
      <c r="J164" s="1405" t="s">
        <v>130</v>
      </c>
    </row>
    <row r="165" spans="2:10" x14ac:dyDescent="0.25">
      <c r="B165" s="1406" t="s">
        <v>1085</v>
      </c>
      <c r="C165" s="1407">
        <v>2005</v>
      </c>
      <c r="D165" s="1406">
        <v>1094000</v>
      </c>
      <c r="E165" s="1408">
        <v>1094000</v>
      </c>
      <c r="F165" s="1409">
        <v>4252</v>
      </c>
      <c r="G165" s="1406">
        <v>5.9984999999999999</v>
      </c>
      <c r="H165" s="1408">
        <v>0.18232600000000002</v>
      </c>
      <c r="I165" s="1408">
        <v>8.8801999999999994E-5</v>
      </c>
      <c r="J165" s="1409">
        <v>11.536999999999999</v>
      </c>
    </row>
    <row r="166" spans="2:10" x14ac:dyDescent="0.25">
      <c r="B166" s="1410" t="s">
        <v>283</v>
      </c>
      <c r="C166" s="1411">
        <v>2005</v>
      </c>
      <c r="D166" s="1410">
        <v>1094000</v>
      </c>
      <c r="E166" s="1412">
        <v>1094000</v>
      </c>
      <c r="F166" s="1413">
        <v>4252</v>
      </c>
      <c r="G166" s="1410">
        <v>5.9984999999999999</v>
      </c>
      <c r="H166" s="1412">
        <v>0.18232600000000002</v>
      </c>
      <c r="I166" s="1412">
        <v>8.8801999999999994E-5</v>
      </c>
      <c r="J166" s="1413">
        <v>11.536999999999999</v>
      </c>
    </row>
    <row r="167" spans="2:10" x14ac:dyDescent="0.25">
      <c r="B167" s="1410" t="s">
        <v>1086</v>
      </c>
      <c r="C167" s="1411">
        <v>2005</v>
      </c>
      <c r="D167" s="1410">
        <v>1094000</v>
      </c>
      <c r="E167" s="1412">
        <v>1094000</v>
      </c>
      <c r="F167" s="1413">
        <v>4252</v>
      </c>
      <c r="G167" s="1410">
        <v>5.9984999999999999</v>
      </c>
      <c r="H167" s="1412">
        <v>0.18232600000000002</v>
      </c>
      <c r="I167" s="1412">
        <v>8.8801999999999994E-5</v>
      </c>
      <c r="J167" s="1413">
        <v>11.536999999999999</v>
      </c>
    </row>
    <row r="168" spans="2:10" x14ac:dyDescent="0.25">
      <c r="B168" s="1410" t="s">
        <v>681</v>
      </c>
      <c r="C168" s="1411">
        <v>2005</v>
      </c>
      <c r="D168" s="1410">
        <v>1094000</v>
      </c>
      <c r="E168" s="1412">
        <v>1094000</v>
      </c>
      <c r="F168" s="1413">
        <v>4252</v>
      </c>
      <c r="G168" s="1410">
        <v>5.9984999999999999</v>
      </c>
      <c r="H168" s="1412">
        <v>0.18232600000000002</v>
      </c>
      <c r="I168" s="1412">
        <v>8.8801999999999994E-5</v>
      </c>
      <c r="J168" s="1413">
        <v>11.536999999999999</v>
      </c>
    </row>
    <row r="169" spans="2:10" x14ac:dyDescent="0.25">
      <c r="B169" s="1410" t="s">
        <v>682</v>
      </c>
      <c r="C169" s="1411">
        <v>2005</v>
      </c>
      <c r="D169" s="1410">
        <v>-1208000</v>
      </c>
      <c r="E169" s="1412">
        <v>0</v>
      </c>
      <c r="F169" s="1413">
        <v>0</v>
      </c>
      <c r="G169" s="1410">
        <v>-85.789999999999992</v>
      </c>
      <c r="H169" s="1412">
        <v>0.54689999999999994</v>
      </c>
      <c r="I169" s="1412">
        <v>-1.4884E-3</v>
      </c>
      <c r="J169" s="1413">
        <v>-70</v>
      </c>
    </row>
    <row r="170" spans="2:10" x14ac:dyDescent="0.25">
      <c r="B170" s="1410" t="s">
        <v>683</v>
      </c>
      <c r="C170" s="1411">
        <v>2005</v>
      </c>
      <c r="D170" s="1410">
        <v>2475000</v>
      </c>
      <c r="E170" s="1412">
        <v>2129000</v>
      </c>
      <c r="F170" s="1413">
        <v>124000</v>
      </c>
      <c r="G170" s="1410">
        <v>251.83</v>
      </c>
      <c r="H170" s="1412">
        <v>0.31369799999999998</v>
      </c>
      <c r="I170" s="1412">
        <v>3.6604999999999997E-3</v>
      </c>
      <c r="J170" s="1413">
        <v>255.85999999999999</v>
      </c>
    </row>
    <row r="171" spans="2:10" x14ac:dyDescent="0.25">
      <c r="B171" s="1410" t="s">
        <v>698</v>
      </c>
      <c r="C171" s="1411">
        <v>2005</v>
      </c>
      <c r="D171" s="1410">
        <v>2475000</v>
      </c>
      <c r="E171" s="1412">
        <v>2129000</v>
      </c>
      <c r="F171" s="1413">
        <v>124000</v>
      </c>
      <c r="G171" s="1410">
        <v>251.83</v>
      </c>
      <c r="H171" s="1412">
        <v>0.31369799999999998</v>
      </c>
      <c r="I171" s="1412">
        <v>3.6604999999999997E-3</v>
      </c>
      <c r="J171" s="1413">
        <v>255.85999999999999</v>
      </c>
    </row>
    <row r="172" spans="2:10" x14ac:dyDescent="0.25">
      <c r="B172" s="1410" t="s">
        <v>684</v>
      </c>
      <c r="C172" s="1411">
        <v>2005</v>
      </c>
      <c r="D172" s="1410">
        <v>2475000</v>
      </c>
      <c r="E172" s="1412">
        <v>2129000</v>
      </c>
      <c r="F172" s="1413">
        <v>124000</v>
      </c>
      <c r="G172" s="1410">
        <v>251.83</v>
      </c>
      <c r="H172" s="1412">
        <v>0.31369799999999998</v>
      </c>
      <c r="I172" s="1412">
        <v>3.6604999999999997E-3</v>
      </c>
      <c r="J172" s="1413">
        <v>255.85999999999999</v>
      </c>
    </row>
    <row r="173" spans="2:10" x14ac:dyDescent="0.25">
      <c r="B173" s="1410" t="s">
        <v>1087</v>
      </c>
      <c r="C173" s="1411">
        <v>2005</v>
      </c>
      <c r="D173" s="1410">
        <v>1023000</v>
      </c>
      <c r="E173" s="1412">
        <v>1022000</v>
      </c>
      <c r="F173" s="1413">
        <v>15840</v>
      </c>
      <c r="G173" s="1410">
        <v>1.9352</v>
      </c>
      <c r="H173" s="1412">
        <v>0.14136591000000001</v>
      </c>
      <c r="I173" s="1412">
        <v>3.6392E-5</v>
      </c>
      <c r="J173" s="1413">
        <v>6.2023000000000001</v>
      </c>
    </row>
    <row r="174" spans="2:10" x14ac:dyDescent="0.25">
      <c r="B174" s="1410" t="s">
        <v>716</v>
      </c>
      <c r="C174" s="1411">
        <v>2005</v>
      </c>
      <c r="D174" s="1410">
        <v>1023000</v>
      </c>
      <c r="E174" s="1412">
        <v>1022000</v>
      </c>
      <c r="F174" s="1413">
        <v>15840</v>
      </c>
      <c r="G174" s="1410">
        <v>1.9352</v>
      </c>
      <c r="H174" s="1412">
        <v>0.14136591000000001</v>
      </c>
      <c r="I174" s="1412">
        <v>3.6392E-5</v>
      </c>
      <c r="J174" s="1413">
        <v>6.2023000000000001</v>
      </c>
    </row>
    <row r="175" spans="2:10" x14ac:dyDescent="0.25">
      <c r="B175" s="1410" t="s">
        <v>717</v>
      </c>
      <c r="C175" s="1411">
        <v>2005</v>
      </c>
      <c r="D175" s="1410">
        <v>1023000</v>
      </c>
      <c r="E175" s="1412">
        <v>1022000</v>
      </c>
      <c r="F175" s="1413">
        <v>15840</v>
      </c>
      <c r="G175" s="1410">
        <v>1.9352</v>
      </c>
      <c r="H175" s="1412">
        <v>0.14136591000000001</v>
      </c>
      <c r="I175" s="1412">
        <v>3.6392E-5</v>
      </c>
      <c r="J175" s="1413">
        <v>6.2023000000000001</v>
      </c>
    </row>
    <row r="176" spans="2:10" x14ac:dyDescent="0.25">
      <c r="B176" s="1410" t="s">
        <v>912</v>
      </c>
      <c r="C176" s="1411">
        <v>2005</v>
      </c>
      <c r="D176" s="1410">
        <v>1205000</v>
      </c>
      <c r="E176" s="1412">
        <v>1200000</v>
      </c>
      <c r="F176" s="1413">
        <v>1056000</v>
      </c>
      <c r="G176" s="1410">
        <v>18.433</v>
      </c>
      <c r="H176" s="1412">
        <v>0.18217</v>
      </c>
      <c r="I176" s="1412">
        <v>2.0549999999999998E-4</v>
      </c>
      <c r="J176" s="1413">
        <v>23.908999999999999</v>
      </c>
    </row>
    <row r="177" spans="2:10" x14ac:dyDescent="0.25">
      <c r="B177" s="1410" t="s">
        <v>910</v>
      </c>
      <c r="C177" s="1411">
        <v>2005</v>
      </c>
      <c r="D177" s="1410">
        <v>1760000</v>
      </c>
      <c r="E177" s="1412">
        <v>783400</v>
      </c>
      <c r="F177" s="1413">
        <v>307400</v>
      </c>
      <c r="G177" s="1410">
        <v>47.923999999999999</v>
      </c>
      <c r="H177" s="1412">
        <v>0.13161500000000001</v>
      </c>
      <c r="I177" s="1412">
        <v>3.3619999999999997E-2</v>
      </c>
      <c r="J177" s="1413">
        <v>56.43</v>
      </c>
    </row>
    <row r="178" spans="2:10" x14ac:dyDescent="0.25">
      <c r="B178" s="1410" t="s">
        <v>913</v>
      </c>
      <c r="C178" s="1411">
        <v>2005</v>
      </c>
      <c r="D178" s="1410">
        <v>1248000</v>
      </c>
      <c r="E178" s="1412">
        <v>1242000</v>
      </c>
      <c r="F178" s="1413">
        <v>1084000</v>
      </c>
      <c r="G178" s="1410">
        <v>24.465</v>
      </c>
      <c r="H178" s="1412">
        <v>0.18840200000000001</v>
      </c>
      <c r="I178" s="1412">
        <v>2.7361999999999997E-4</v>
      </c>
      <c r="J178" s="1413">
        <v>30.237000000000002</v>
      </c>
    </row>
    <row r="179" spans="2:10" x14ac:dyDescent="0.25">
      <c r="B179" s="1410" t="s">
        <v>1081</v>
      </c>
      <c r="C179" s="1411">
        <v>2005</v>
      </c>
      <c r="D179" s="1410">
        <v>1195000</v>
      </c>
      <c r="E179" s="1412">
        <v>56800</v>
      </c>
      <c r="F179" s="1413">
        <v>32280</v>
      </c>
      <c r="G179" s="1410">
        <v>4.3339999999999996</v>
      </c>
      <c r="H179" s="1412">
        <v>9.434399999999999E-3</v>
      </c>
      <c r="I179" s="1412">
        <v>-3.8369229999999999E-3</v>
      </c>
      <c r="J179" s="1413">
        <v>3.6147</v>
      </c>
    </row>
    <row r="180" spans="2:10" x14ac:dyDescent="0.25">
      <c r="B180" s="1410" t="s">
        <v>815</v>
      </c>
      <c r="C180" s="1411">
        <v>2005</v>
      </c>
      <c r="D180" s="1410">
        <v>1195000</v>
      </c>
      <c r="E180" s="1412">
        <v>56800</v>
      </c>
      <c r="F180" s="1413">
        <v>32280</v>
      </c>
      <c r="G180" s="1410">
        <v>4.3339999999999996</v>
      </c>
      <c r="H180" s="1412">
        <v>9.434399999999999E-3</v>
      </c>
      <c r="I180" s="1412">
        <v>-3.8369229999999999E-3</v>
      </c>
      <c r="J180" s="1413">
        <v>3.6147</v>
      </c>
    </row>
    <row r="181" spans="2:10" x14ac:dyDescent="0.25">
      <c r="B181" s="1410" t="s">
        <v>824</v>
      </c>
      <c r="C181" s="1411">
        <v>2005</v>
      </c>
      <c r="D181" s="1410">
        <v>1195000</v>
      </c>
      <c r="E181" s="1412">
        <v>56800</v>
      </c>
      <c r="F181" s="1413">
        <v>32280</v>
      </c>
      <c r="G181" s="1410">
        <v>4.3339999999999996</v>
      </c>
      <c r="H181" s="1412">
        <v>9.434399999999999E-3</v>
      </c>
      <c r="I181" s="1412">
        <v>-3.8369229999999999E-3</v>
      </c>
      <c r="J181" s="1413">
        <v>3.6147</v>
      </c>
    </row>
    <row r="182" spans="2:10" ht="13" thickBot="1" x14ac:dyDescent="0.3">
      <c r="B182" s="1414" t="s">
        <v>1088</v>
      </c>
      <c r="C182" s="1415">
        <v>2005</v>
      </c>
      <c r="D182" s="1414">
        <v>1387000</v>
      </c>
      <c r="E182" s="1416">
        <v>1386000</v>
      </c>
      <c r="F182" s="1417">
        <v>5427</v>
      </c>
      <c r="G182" s="1414">
        <v>78.934799999999996</v>
      </c>
      <c r="H182" s="1416">
        <v>0.27050000000000002</v>
      </c>
      <c r="I182" s="1416">
        <v>1.418723E-3</v>
      </c>
      <c r="J182" s="1417">
        <v>87.571399999999997</v>
      </c>
    </row>
    <row r="183" spans="2:10" x14ac:dyDescent="0.25">
      <c r="B183" s="1406" t="s">
        <v>1085</v>
      </c>
      <c r="C183" s="1407">
        <v>2010</v>
      </c>
      <c r="D183" s="1406">
        <v>1094000</v>
      </c>
      <c r="E183" s="1408">
        <v>1093000</v>
      </c>
      <c r="F183" s="1409">
        <v>4104</v>
      </c>
      <c r="G183" s="1406">
        <v>5.9177</v>
      </c>
      <c r="H183" s="1408">
        <v>0.18431800000000001</v>
      </c>
      <c r="I183" s="1408">
        <v>8.6370000000000001E-4</v>
      </c>
      <c r="J183" s="1409">
        <v>11.7387</v>
      </c>
    </row>
    <row r="184" spans="2:10" x14ac:dyDescent="0.25">
      <c r="B184" s="1410" t="s">
        <v>283</v>
      </c>
      <c r="C184" s="1411">
        <v>2010</v>
      </c>
      <c r="D184" s="1410">
        <v>1094000</v>
      </c>
      <c r="E184" s="1412">
        <v>1093000</v>
      </c>
      <c r="F184" s="1413">
        <v>4104</v>
      </c>
      <c r="G184" s="1410">
        <v>5.9177</v>
      </c>
      <c r="H184" s="1412">
        <v>0.18431800000000001</v>
      </c>
      <c r="I184" s="1412">
        <v>8.6370000000000001E-4</v>
      </c>
      <c r="J184" s="1413">
        <v>11.7387</v>
      </c>
    </row>
    <row r="185" spans="2:10" x14ac:dyDescent="0.25">
      <c r="B185" s="1410" t="s">
        <v>1086</v>
      </c>
      <c r="C185" s="1411">
        <v>2010</v>
      </c>
      <c r="D185" s="1410">
        <v>1094000</v>
      </c>
      <c r="E185" s="1412">
        <v>1093000</v>
      </c>
      <c r="F185" s="1413">
        <v>4104</v>
      </c>
      <c r="G185" s="1410">
        <v>5.9177</v>
      </c>
      <c r="H185" s="1412">
        <v>0.18431800000000001</v>
      </c>
      <c r="I185" s="1412">
        <v>8.6370000000000001E-4</v>
      </c>
      <c r="J185" s="1413">
        <v>11.7387</v>
      </c>
    </row>
    <row r="186" spans="2:10" x14ac:dyDescent="0.25">
      <c r="B186" s="1410" t="s">
        <v>681</v>
      </c>
      <c r="C186" s="1411">
        <v>2010</v>
      </c>
      <c r="D186" s="1410">
        <v>1094000</v>
      </c>
      <c r="E186" s="1412">
        <v>1093000</v>
      </c>
      <c r="F186" s="1413">
        <v>4104</v>
      </c>
      <c r="G186" s="1410">
        <v>5.9177</v>
      </c>
      <c r="H186" s="1412">
        <v>0.18431800000000001</v>
      </c>
      <c r="I186" s="1412">
        <v>8.6370000000000001E-4</v>
      </c>
      <c r="J186" s="1413">
        <v>11.7387</v>
      </c>
    </row>
    <row r="187" spans="2:10" x14ac:dyDescent="0.25">
      <c r="B187" s="1410" t="s">
        <v>682</v>
      </c>
      <c r="C187" s="1411">
        <v>2010</v>
      </c>
      <c r="D187" s="1410">
        <v>-1208000</v>
      </c>
      <c r="E187" s="1412">
        <v>0</v>
      </c>
      <c r="F187" s="1413">
        <v>0</v>
      </c>
      <c r="G187" s="1410">
        <v>-85.789999999999992</v>
      </c>
      <c r="H187" s="1412">
        <v>0.54600000000000004</v>
      </c>
      <c r="I187" s="1412">
        <v>-1.8614999999999999E-3</v>
      </c>
      <c r="J187" s="1413">
        <v>-70.12</v>
      </c>
    </row>
    <row r="188" spans="2:10" x14ac:dyDescent="0.25">
      <c r="B188" s="1410" t="s">
        <v>683</v>
      </c>
      <c r="C188" s="1411">
        <v>2010</v>
      </c>
      <c r="D188" s="1410">
        <v>2254000</v>
      </c>
      <c r="E188" s="1412">
        <v>1938000</v>
      </c>
      <c r="F188" s="1413">
        <v>52730</v>
      </c>
      <c r="G188" s="1410">
        <v>220.67</v>
      </c>
      <c r="H188" s="1412">
        <v>0.288267</v>
      </c>
      <c r="I188" s="1412">
        <v>3.4012000000000001E-3</v>
      </c>
      <c r="J188" s="1413">
        <v>228.91000000000003</v>
      </c>
    </row>
    <row r="189" spans="2:10" x14ac:dyDescent="0.25">
      <c r="B189" s="1410" t="s">
        <v>698</v>
      </c>
      <c r="C189" s="1411">
        <v>2010</v>
      </c>
      <c r="D189" s="1410">
        <v>2254000</v>
      </c>
      <c r="E189" s="1412">
        <v>1938000</v>
      </c>
      <c r="F189" s="1413">
        <v>52730</v>
      </c>
      <c r="G189" s="1410">
        <v>220.67</v>
      </c>
      <c r="H189" s="1412">
        <v>0.288267</v>
      </c>
      <c r="I189" s="1412">
        <v>3.4012000000000001E-3</v>
      </c>
      <c r="J189" s="1413">
        <v>228.91000000000003</v>
      </c>
    </row>
    <row r="190" spans="2:10" x14ac:dyDescent="0.25">
      <c r="B190" s="1410" t="s">
        <v>684</v>
      </c>
      <c r="C190" s="1411">
        <v>2010</v>
      </c>
      <c r="D190" s="1410">
        <v>2254000</v>
      </c>
      <c r="E190" s="1412">
        <v>1938000</v>
      </c>
      <c r="F190" s="1413">
        <v>52730</v>
      </c>
      <c r="G190" s="1410">
        <v>220.67</v>
      </c>
      <c r="H190" s="1412">
        <v>0.288267</v>
      </c>
      <c r="I190" s="1412">
        <v>3.4012000000000001E-3</v>
      </c>
      <c r="J190" s="1413">
        <v>228.91000000000003</v>
      </c>
    </row>
    <row r="191" spans="2:10" x14ac:dyDescent="0.25">
      <c r="B191" s="1410" t="s">
        <v>1087</v>
      </c>
      <c r="C191" s="1411">
        <v>2010</v>
      </c>
      <c r="D191" s="1410">
        <v>1023000</v>
      </c>
      <c r="E191" s="1412">
        <v>1022000</v>
      </c>
      <c r="F191" s="1413">
        <v>15710</v>
      </c>
      <c r="G191" s="1410">
        <v>1.8761000000000001</v>
      </c>
      <c r="H191" s="1412">
        <v>0.14136795000000002</v>
      </c>
      <c r="I191" s="1412">
        <v>3.5802E-5</v>
      </c>
      <c r="J191" s="1413">
        <v>6.1511000000000005</v>
      </c>
    </row>
    <row r="192" spans="2:10" x14ac:dyDescent="0.25">
      <c r="B192" s="1410" t="s">
        <v>716</v>
      </c>
      <c r="C192" s="1411">
        <v>2010</v>
      </c>
      <c r="D192" s="1410">
        <v>1023000</v>
      </c>
      <c r="E192" s="1412">
        <v>1022000</v>
      </c>
      <c r="F192" s="1413">
        <v>15710</v>
      </c>
      <c r="G192" s="1410">
        <v>1.8761000000000001</v>
      </c>
      <c r="H192" s="1412">
        <v>0.14136795000000002</v>
      </c>
      <c r="I192" s="1412">
        <v>3.5802E-5</v>
      </c>
      <c r="J192" s="1413">
        <v>6.1511000000000005</v>
      </c>
    </row>
    <row r="193" spans="2:10" x14ac:dyDescent="0.25">
      <c r="B193" s="1410" t="s">
        <v>717</v>
      </c>
      <c r="C193" s="1411">
        <v>2010</v>
      </c>
      <c r="D193" s="1410">
        <v>1023000</v>
      </c>
      <c r="E193" s="1412">
        <v>1022000</v>
      </c>
      <c r="F193" s="1413">
        <v>15710</v>
      </c>
      <c r="G193" s="1410">
        <v>1.8761000000000001</v>
      </c>
      <c r="H193" s="1412">
        <v>0.14136795000000002</v>
      </c>
      <c r="I193" s="1412">
        <v>3.5802E-5</v>
      </c>
      <c r="J193" s="1413">
        <v>6.1511000000000005</v>
      </c>
    </row>
    <row r="194" spans="2:10" x14ac:dyDescent="0.25">
      <c r="B194" s="1410" t="s">
        <v>912</v>
      </c>
      <c r="C194" s="1411">
        <v>2010</v>
      </c>
      <c r="D194" s="1410">
        <v>1206000</v>
      </c>
      <c r="E194" s="1412">
        <v>1201000</v>
      </c>
      <c r="F194" s="1413">
        <v>1056000</v>
      </c>
      <c r="G194" s="1410">
        <v>18.166999999999998</v>
      </c>
      <c r="H194" s="1412">
        <v>0.18199899999999999</v>
      </c>
      <c r="I194" s="1412">
        <v>2.9639E-4</v>
      </c>
      <c r="J194" s="1413">
        <v>23.741999999999997</v>
      </c>
    </row>
    <row r="195" spans="2:10" x14ac:dyDescent="0.25">
      <c r="B195" s="1410" t="s">
        <v>910</v>
      </c>
      <c r="C195" s="1411">
        <v>2010</v>
      </c>
      <c r="D195" s="1410">
        <v>1687000</v>
      </c>
      <c r="E195" s="1412">
        <v>740000</v>
      </c>
      <c r="F195" s="1413">
        <v>297100</v>
      </c>
      <c r="G195" s="1410">
        <v>42.921999999999997</v>
      </c>
      <c r="H195" s="1412">
        <v>0.12687100000000001</v>
      </c>
      <c r="I195" s="1412">
        <v>2.955E-2</v>
      </c>
      <c r="J195" s="1413">
        <v>50.54</v>
      </c>
    </row>
    <row r="196" spans="2:10" x14ac:dyDescent="0.25">
      <c r="B196" s="1410" t="s">
        <v>913</v>
      </c>
      <c r="C196" s="1411">
        <v>2010</v>
      </c>
      <c r="D196" s="1410">
        <v>1248000</v>
      </c>
      <c r="E196" s="1412">
        <v>1242000</v>
      </c>
      <c r="F196" s="1413">
        <v>1083000</v>
      </c>
      <c r="G196" s="1410">
        <v>24.158999999999999</v>
      </c>
      <c r="H196" s="1412">
        <v>0.18823500000000001</v>
      </c>
      <c r="I196" s="1412">
        <v>3.8572999999999998E-4</v>
      </c>
      <c r="J196" s="1413">
        <v>30.041</v>
      </c>
    </row>
    <row r="197" spans="2:10" x14ac:dyDescent="0.25">
      <c r="B197" s="1410" t="s">
        <v>1081</v>
      </c>
      <c r="C197" s="1411">
        <v>2010</v>
      </c>
      <c r="D197" s="1410">
        <v>1194000</v>
      </c>
      <c r="E197" s="1412">
        <v>56320</v>
      </c>
      <c r="F197" s="1413">
        <v>32080</v>
      </c>
      <c r="G197" s="1410">
        <v>4.2514000000000003</v>
      </c>
      <c r="H197" s="1412">
        <v>9.6048000000000001E-3</v>
      </c>
      <c r="I197" s="1412">
        <v>-3.820487E-3</v>
      </c>
      <c r="J197" s="1413">
        <v>3.5488999999999997</v>
      </c>
    </row>
    <row r="198" spans="2:10" x14ac:dyDescent="0.25">
      <c r="B198" s="1410" t="s">
        <v>815</v>
      </c>
      <c r="C198" s="1411">
        <v>2010</v>
      </c>
      <c r="D198" s="1410">
        <v>1194000</v>
      </c>
      <c r="E198" s="1412">
        <v>56320</v>
      </c>
      <c r="F198" s="1413">
        <v>32080</v>
      </c>
      <c r="G198" s="1410">
        <v>4.2514000000000003</v>
      </c>
      <c r="H198" s="1412">
        <v>9.6048000000000001E-3</v>
      </c>
      <c r="I198" s="1412">
        <v>-3.820487E-3</v>
      </c>
      <c r="J198" s="1413">
        <v>3.5488999999999997</v>
      </c>
    </row>
    <row r="199" spans="2:10" x14ac:dyDescent="0.25">
      <c r="B199" s="1410" t="s">
        <v>824</v>
      </c>
      <c r="C199" s="1411">
        <v>2010</v>
      </c>
      <c r="D199" s="1410">
        <v>1194000</v>
      </c>
      <c r="E199" s="1412">
        <v>56320</v>
      </c>
      <c r="F199" s="1413">
        <v>32080</v>
      </c>
      <c r="G199" s="1410">
        <v>4.2514000000000003</v>
      </c>
      <c r="H199" s="1412">
        <v>9.6048000000000001E-3</v>
      </c>
      <c r="I199" s="1412">
        <v>-3.820487E-3</v>
      </c>
      <c r="J199" s="1413">
        <v>3.5488999999999997</v>
      </c>
    </row>
    <row r="200" spans="2:10" ht="13" thickBot="1" x14ac:dyDescent="0.3">
      <c r="B200" s="1414" t="s">
        <v>1088</v>
      </c>
      <c r="C200" s="1415">
        <v>2010</v>
      </c>
      <c r="D200" s="1414">
        <v>1386000</v>
      </c>
      <c r="E200" s="1416">
        <v>1385000</v>
      </c>
      <c r="F200" s="1417">
        <v>5215</v>
      </c>
      <c r="G200" s="1414">
        <v>78.8352</v>
      </c>
      <c r="H200" s="1416">
        <v>0.27453</v>
      </c>
      <c r="I200" s="1416">
        <v>2.3346E-3</v>
      </c>
      <c r="J200" s="1417">
        <v>87.848799999999997</v>
      </c>
    </row>
    <row r="201" spans="2:10" x14ac:dyDescent="0.25">
      <c r="B201" s="1406" t="s">
        <v>1085</v>
      </c>
      <c r="C201" s="1407">
        <v>2015</v>
      </c>
      <c r="D201" s="1406">
        <v>1093000</v>
      </c>
      <c r="E201" s="1408">
        <v>1092000</v>
      </c>
      <c r="F201" s="1409">
        <v>4020</v>
      </c>
      <c r="G201" s="1406">
        <v>5.8287000000000004</v>
      </c>
      <c r="H201" s="1408">
        <v>0.18472100000000002</v>
      </c>
      <c r="I201" s="1408">
        <v>8.6249999999999999E-4</v>
      </c>
      <c r="J201" s="1409">
        <v>11.659600000000001</v>
      </c>
    </row>
    <row r="202" spans="2:10" x14ac:dyDescent="0.25">
      <c r="B202" s="1410" t="s">
        <v>283</v>
      </c>
      <c r="C202" s="1411">
        <v>2015</v>
      </c>
      <c r="D202" s="1410">
        <v>1093000</v>
      </c>
      <c r="E202" s="1412">
        <v>1092000</v>
      </c>
      <c r="F202" s="1413">
        <v>4020</v>
      </c>
      <c r="G202" s="1410">
        <v>5.8287000000000004</v>
      </c>
      <c r="H202" s="1412">
        <v>0.18472100000000002</v>
      </c>
      <c r="I202" s="1412">
        <v>8.6249999999999999E-4</v>
      </c>
      <c r="J202" s="1413">
        <v>11.659600000000001</v>
      </c>
    </row>
    <row r="203" spans="2:10" x14ac:dyDescent="0.25">
      <c r="B203" s="1410" t="s">
        <v>1086</v>
      </c>
      <c r="C203" s="1411">
        <v>2015</v>
      </c>
      <c r="D203" s="1410">
        <v>1093000</v>
      </c>
      <c r="E203" s="1412">
        <v>1092000</v>
      </c>
      <c r="F203" s="1413">
        <v>4020</v>
      </c>
      <c r="G203" s="1410">
        <v>5.8287000000000004</v>
      </c>
      <c r="H203" s="1412">
        <v>0.18472100000000002</v>
      </c>
      <c r="I203" s="1412">
        <v>8.6249999999999999E-4</v>
      </c>
      <c r="J203" s="1413">
        <v>11.659600000000001</v>
      </c>
    </row>
    <row r="204" spans="2:10" x14ac:dyDescent="0.25">
      <c r="B204" s="1410" t="s">
        <v>681</v>
      </c>
      <c r="C204" s="1411">
        <v>2015</v>
      </c>
      <c r="D204" s="1410">
        <v>1093000</v>
      </c>
      <c r="E204" s="1412">
        <v>1092000</v>
      </c>
      <c r="F204" s="1413">
        <v>4020</v>
      </c>
      <c r="G204" s="1410">
        <v>5.8287000000000004</v>
      </c>
      <c r="H204" s="1412">
        <v>0.18472100000000002</v>
      </c>
      <c r="I204" s="1412">
        <v>8.6249999999999999E-4</v>
      </c>
      <c r="J204" s="1413">
        <v>11.659600000000001</v>
      </c>
    </row>
    <row r="205" spans="2:10" x14ac:dyDescent="0.25">
      <c r="B205" s="1410" t="s">
        <v>682</v>
      </c>
      <c r="C205" s="1411">
        <v>2015</v>
      </c>
      <c r="D205" s="1410">
        <v>-1194000</v>
      </c>
      <c r="E205" s="1412">
        <v>0</v>
      </c>
      <c r="F205" s="1413">
        <v>0</v>
      </c>
      <c r="G205" s="1410">
        <v>-85.789999999999992</v>
      </c>
      <c r="H205" s="1412">
        <v>0.54659999999999997</v>
      </c>
      <c r="I205" s="1412">
        <v>-1.8422E-3</v>
      </c>
      <c r="J205" s="1413">
        <v>-70.099999999999994</v>
      </c>
    </row>
    <row r="206" spans="2:10" x14ac:dyDescent="0.25">
      <c r="B206" s="1410" t="s">
        <v>683</v>
      </c>
      <c r="C206" s="1411">
        <v>2015</v>
      </c>
      <c r="D206" s="1410">
        <v>2038000</v>
      </c>
      <c r="E206" s="1412">
        <v>1688000</v>
      </c>
      <c r="F206" s="1413">
        <v>38920</v>
      </c>
      <c r="G206" s="1410">
        <v>180.61</v>
      </c>
      <c r="H206" s="1412">
        <v>0.25748300000000002</v>
      </c>
      <c r="I206" s="1412">
        <v>2.7356999999999998E-3</v>
      </c>
      <c r="J206" s="1413">
        <v>187.32</v>
      </c>
    </row>
    <row r="207" spans="2:10" x14ac:dyDescent="0.25">
      <c r="B207" s="1410" t="s">
        <v>698</v>
      </c>
      <c r="C207" s="1411">
        <v>2015</v>
      </c>
      <c r="D207" s="1410">
        <v>2038000</v>
      </c>
      <c r="E207" s="1412">
        <v>1688000</v>
      </c>
      <c r="F207" s="1413">
        <v>38920</v>
      </c>
      <c r="G207" s="1410">
        <v>180.61</v>
      </c>
      <c r="H207" s="1412">
        <v>0.25748300000000002</v>
      </c>
      <c r="I207" s="1412">
        <v>2.7356999999999998E-3</v>
      </c>
      <c r="J207" s="1413">
        <v>187.32</v>
      </c>
    </row>
    <row r="208" spans="2:10" x14ac:dyDescent="0.25">
      <c r="B208" s="1410" t="s">
        <v>684</v>
      </c>
      <c r="C208" s="1411">
        <v>2015</v>
      </c>
      <c r="D208" s="1410">
        <v>2038000</v>
      </c>
      <c r="E208" s="1412">
        <v>1688000</v>
      </c>
      <c r="F208" s="1413">
        <v>38920</v>
      </c>
      <c r="G208" s="1410">
        <v>180.61</v>
      </c>
      <c r="H208" s="1412">
        <v>0.25748300000000002</v>
      </c>
      <c r="I208" s="1412">
        <v>2.7356999999999998E-3</v>
      </c>
      <c r="J208" s="1413">
        <v>187.32</v>
      </c>
    </row>
    <row r="209" spans="2:10" x14ac:dyDescent="0.25">
      <c r="B209" s="1410" t="s">
        <v>1087</v>
      </c>
      <c r="C209" s="1411">
        <v>2015</v>
      </c>
      <c r="D209" s="1410">
        <v>1022000</v>
      </c>
      <c r="E209" s="1412">
        <v>1021000</v>
      </c>
      <c r="F209" s="1413">
        <v>15590</v>
      </c>
      <c r="G209" s="1410">
        <v>1.8048999999999999</v>
      </c>
      <c r="H209" s="1412">
        <v>0.14106285999999998</v>
      </c>
      <c r="I209" s="1412">
        <v>3.4603000000000001E-5</v>
      </c>
      <c r="J209" s="1413">
        <v>6.0683999999999996</v>
      </c>
    </row>
    <row r="210" spans="2:10" x14ac:dyDescent="0.25">
      <c r="B210" s="1410" t="s">
        <v>716</v>
      </c>
      <c r="C210" s="1411">
        <v>2015</v>
      </c>
      <c r="D210" s="1410">
        <v>1022000</v>
      </c>
      <c r="E210" s="1412">
        <v>1021000</v>
      </c>
      <c r="F210" s="1413">
        <v>15590</v>
      </c>
      <c r="G210" s="1410">
        <v>1.8048999999999999</v>
      </c>
      <c r="H210" s="1412">
        <v>0.14106285999999998</v>
      </c>
      <c r="I210" s="1412">
        <v>3.4603000000000001E-5</v>
      </c>
      <c r="J210" s="1413">
        <v>6.0683999999999996</v>
      </c>
    </row>
    <row r="211" spans="2:10" x14ac:dyDescent="0.25">
      <c r="B211" s="1410" t="s">
        <v>717</v>
      </c>
      <c r="C211" s="1411">
        <v>2015</v>
      </c>
      <c r="D211" s="1410">
        <v>1022000</v>
      </c>
      <c r="E211" s="1412">
        <v>1021000</v>
      </c>
      <c r="F211" s="1413">
        <v>15590</v>
      </c>
      <c r="G211" s="1410">
        <v>1.8048999999999999</v>
      </c>
      <c r="H211" s="1412">
        <v>0.14106285999999998</v>
      </c>
      <c r="I211" s="1412">
        <v>3.4603000000000001E-5</v>
      </c>
      <c r="J211" s="1413">
        <v>6.0683999999999996</v>
      </c>
    </row>
    <row r="212" spans="2:10" x14ac:dyDescent="0.25">
      <c r="B212" s="1410" t="s">
        <v>912</v>
      </c>
      <c r="C212" s="1411">
        <v>2015</v>
      </c>
      <c r="D212" s="1410">
        <v>1210000</v>
      </c>
      <c r="E212" s="1412">
        <v>1204000</v>
      </c>
      <c r="F212" s="1413">
        <v>1053000</v>
      </c>
      <c r="G212" s="1410">
        <v>18.527999999999999</v>
      </c>
      <c r="H212" s="1412">
        <v>0.16494200000000001</v>
      </c>
      <c r="I212" s="1412">
        <v>2.9771000000000002E-4</v>
      </c>
      <c r="J212" s="1413">
        <v>23.579000000000001</v>
      </c>
    </row>
    <row r="213" spans="2:10" x14ac:dyDescent="0.25">
      <c r="B213" s="1410" t="s">
        <v>910</v>
      </c>
      <c r="C213" s="1411">
        <v>2015</v>
      </c>
      <c r="D213" s="1410">
        <v>1642000</v>
      </c>
      <c r="E213" s="1412">
        <v>724000</v>
      </c>
      <c r="F213" s="1413">
        <v>290600</v>
      </c>
      <c r="G213" s="1410">
        <v>41.042999999999999</v>
      </c>
      <c r="H213" s="1412">
        <v>0.1162</v>
      </c>
      <c r="I213" s="1412">
        <v>2.7609999999999999E-2</v>
      </c>
      <c r="J213" s="1413">
        <v>48.36</v>
      </c>
    </row>
    <row r="214" spans="2:10" x14ac:dyDescent="0.25">
      <c r="B214" s="1410" t="s">
        <v>913</v>
      </c>
      <c r="C214" s="1411">
        <v>2015</v>
      </c>
      <c r="D214" s="1410">
        <v>1252000</v>
      </c>
      <c r="E214" s="1412">
        <v>1245000</v>
      </c>
      <c r="F214" s="1413">
        <v>1081000</v>
      </c>
      <c r="G214" s="1410">
        <v>24.462</v>
      </c>
      <c r="H214" s="1412">
        <v>0.17067199999999999</v>
      </c>
      <c r="I214" s="1412">
        <v>3.8633E-4</v>
      </c>
      <c r="J214" s="1413">
        <v>29.811999999999998</v>
      </c>
    </row>
    <row r="215" spans="2:10" x14ac:dyDescent="0.25">
      <c r="B215" s="1410" t="s">
        <v>1081</v>
      </c>
      <c r="C215" s="1411">
        <v>2015</v>
      </c>
      <c r="D215" s="1410">
        <v>1191000</v>
      </c>
      <c r="E215" s="1412">
        <v>53390</v>
      </c>
      <c r="F215" s="1413">
        <v>29910</v>
      </c>
      <c r="G215" s="1410">
        <v>3.9701</v>
      </c>
      <c r="H215" s="1412">
        <v>8.6864999999999998E-3</v>
      </c>
      <c r="I215" s="1412">
        <v>-3.8232459999999998E-3</v>
      </c>
      <c r="J215" s="1413">
        <v>3.2326999999999999</v>
      </c>
    </row>
    <row r="216" spans="2:10" x14ac:dyDescent="0.25">
      <c r="B216" s="1410" t="s">
        <v>815</v>
      </c>
      <c r="C216" s="1411">
        <v>2015</v>
      </c>
      <c r="D216" s="1410">
        <v>1191000</v>
      </c>
      <c r="E216" s="1412">
        <v>53390</v>
      </c>
      <c r="F216" s="1413">
        <v>29910</v>
      </c>
      <c r="G216" s="1410">
        <v>3.9701</v>
      </c>
      <c r="H216" s="1412">
        <v>8.6864999999999998E-3</v>
      </c>
      <c r="I216" s="1412">
        <v>-3.8232459999999998E-3</v>
      </c>
      <c r="J216" s="1413">
        <v>3.2326999999999999</v>
      </c>
    </row>
    <row r="217" spans="2:10" x14ac:dyDescent="0.25">
      <c r="B217" s="1410" t="s">
        <v>824</v>
      </c>
      <c r="C217" s="1411">
        <v>2015</v>
      </c>
      <c r="D217" s="1410">
        <v>1191000</v>
      </c>
      <c r="E217" s="1412">
        <v>53390</v>
      </c>
      <c r="F217" s="1413">
        <v>29910</v>
      </c>
      <c r="G217" s="1410">
        <v>3.9701</v>
      </c>
      <c r="H217" s="1412">
        <v>8.6864999999999998E-3</v>
      </c>
      <c r="I217" s="1412">
        <v>-3.8232459999999998E-3</v>
      </c>
      <c r="J217" s="1413">
        <v>3.2326999999999999</v>
      </c>
    </row>
    <row r="218" spans="2:10" ht="13" thickBot="1" x14ac:dyDescent="0.3">
      <c r="B218" s="1414" t="s">
        <v>1088</v>
      </c>
      <c r="C218" s="1415">
        <v>2015</v>
      </c>
      <c r="D218" s="1414">
        <v>1385000</v>
      </c>
      <c r="E218" s="1416">
        <v>1384000</v>
      </c>
      <c r="F218" s="1417">
        <v>5105</v>
      </c>
      <c r="G218" s="1414">
        <v>78.707400000000007</v>
      </c>
      <c r="H218" s="1416">
        <v>0.27494000000000002</v>
      </c>
      <c r="I218" s="1416">
        <v>2.3330999999999998E-3</v>
      </c>
      <c r="J218" s="1417">
        <v>87.730800000000002</v>
      </c>
    </row>
    <row r="219" spans="2:10" x14ac:dyDescent="0.25">
      <c r="B219" s="1406" t="s">
        <v>1085</v>
      </c>
      <c r="C219" s="1407">
        <v>2020</v>
      </c>
      <c r="D219" s="1406">
        <v>1093000</v>
      </c>
      <c r="E219" s="1408">
        <v>1092000</v>
      </c>
      <c r="F219" s="1409">
        <v>3993</v>
      </c>
      <c r="G219" s="1406">
        <v>5.7995000000000001</v>
      </c>
      <c r="H219" s="1408">
        <v>0.18462100000000001</v>
      </c>
      <c r="I219" s="1408">
        <v>8.6209999999999998E-4</v>
      </c>
      <c r="J219" s="1409">
        <v>11.6227</v>
      </c>
    </row>
    <row r="220" spans="2:10" x14ac:dyDescent="0.25">
      <c r="B220" s="1410" t="s">
        <v>283</v>
      </c>
      <c r="C220" s="1411">
        <v>2020</v>
      </c>
      <c r="D220" s="1410">
        <v>1093000</v>
      </c>
      <c r="E220" s="1412">
        <v>1092000</v>
      </c>
      <c r="F220" s="1413">
        <v>3993</v>
      </c>
      <c r="G220" s="1410">
        <v>5.7995000000000001</v>
      </c>
      <c r="H220" s="1412">
        <v>0.18462100000000001</v>
      </c>
      <c r="I220" s="1412">
        <v>8.6209999999999998E-4</v>
      </c>
      <c r="J220" s="1413">
        <v>11.6227</v>
      </c>
    </row>
    <row r="221" spans="2:10" x14ac:dyDescent="0.25">
      <c r="B221" s="1410" t="s">
        <v>1086</v>
      </c>
      <c r="C221" s="1411">
        <v>2020</v>
      </c>
      <c r="D221" s="1410">
        <v>1093000</v>
      </c>
      <c r="E221" s="1412">
        <v>1092000</v>
      </c>
      <c r="F221" s="1413">
        <v>3993</v>
      </c>
      <c r="G221" s="1410">
        <v>5.7995000000000001</v>
      </c>
      <c r="H221" s="1412">
        <v>0.18462100000000001</v>
      </c>
      <c r="I221" s="1412">
        <v>8.6209999999999998E-4</v>
      </c>
      <c r="J221" s="1413">
        <v>11.6227</v>
      </c>
    </row>
    <row r="222" spans="2:10" x14ac:dyDescent="0.25">
      <c r="B222" s="1410" t="s">
        <v>681</v>
      </c>
      <c r="C222" s="1411">
        <v>2020</v>
      </c>
      <c r="D222" s="1410">
        <v>1093000</v>
      </c>
      <c r="E222" s="1412">
        <v>1092000</v>
      </c>
      <c r="F222" s="1413">
        <v>3993</v>
      </c>
      <c r="G222" s="1410">
        <v>5.7995000000000001</v>
      </c>
      <c r="H222" s="1412">
        <v>0.18462100000000001</v>
      </c>
      <c r="I222" s="1412">
        <v>8.6209999999999998E-4</v>
      </c>
      <c r="J222" s="1413">
        <v>11.6227</v>
      </c>
    </row>
    <row r="223" spans="2:10" x14ac:dyDescent="0.25">
      <c r="B223" s="1410" t="s">
        <v>682</v>
      </c>
      <c r="C223" s="1411">
        <v>2020</v>
      </c>
      <c r="D223" s="1410">
        <v>-1185000</v>
      </c>
      <c r="E223" s="1412">
        <v>0</v>
      </c>
      <c r="F223" s="1413">
        <v>0</v>
      </c>
      <c r="G223" s="1410">
        <v>-85.800000000000011</v>
      </c>
      <c r="H223" s="1412">
        <v>0.54700000000000004</v>
      </c>
      <c r="I223" s="1412">
        <v>-1.8286999999999999E-3</v>
      </c>
      <c r="J223" s="1413">
        <v>-70.08</v>
      </c>
    </row>
    <row r="224" spans="2:10" x14ac:dyDescent="0.25">
      <c r="B224" s="1410" t="s">
        <v>683</v>
      </c>
      <c r="C224" s="1411">
        <v>2020</v>
      </c>
      <c r="D224" s="1410">
        <v>1866000</v>
      </c>
      <c r="E224" s="1412">
        <v>1484000</v>
      </c>
      <c r="F224" s="1413">
        <v>26490</v>
      </c>
      <c r="G224" s="1410">
        <v>161.61000000000001</v>
      </c>
      <c r="H224" s="1412">
        <v>0.22423899999999999</v>
      </c>
      <c r="I224" s="1412">
        <v>2.4153E-3</v>
      </c>
      <c r="J224" s="1413">
        <v>168.06</v>
      </c>
    </row>
    <row r="225" spans="2:10" x14ac:dyDescent="0.25">
      <c r="B225" s="1410" t="s">
        <v>698</v>
      </c>
      <c r="C225" s="1411">
        <v>2020</v>
      </c>
      <c r="D225" s="1410">
        <v>1866000</v>
      </c>
      <c r="E225" s="1412">
        <v>1484000</v>
      </c>
      <c r="F225" s="1413">
        <v>26490</v>
      </c>
      <c r="G225" s="1410">
        <v>161.61000000000001</v>
      </c>
      <c r="H225" s="1412">
        <v>0.22423899999999999</v>
      </c>
      <c r="I225" s="1412">
        <v>2.4153E-3</v>
      </c>
      <c r="J225" s="1413">
        <v>168.06</v>
      </c>
    </row>
    <row r="226" spans="2:10" x14ac:dyDescent="0.25">
      <c r="B226" s="1410" t="s">
        <v>684</v>
      </c>
      <c r="C226" s="1411">
        <v>2020</v>
      </c>
      <c r="D226" s="1410">
        <v>1866000</v>
      </c>
      <c r="E226" s="1412">
        <v>1484000</v>
      </c>
      <c r="F226" s="1413">
        <v>26490</v>
      </c>
      <c r="G226" s="1410">
        <v>161.61000000000001</v>
      </c>
      <c r="H226" s="1412">
        <v>0.22423899999999999</v>
      </c>
      <c r="I226" s="1412">
        <v>2.4153E-3</v>
      </c>
      <c r="J226" s="1413">
        <v>168.06</v>
      </c>
    </row>
    <row r="227" spans="2:10" x14ac:dyDescent="0.25">
      <c r="B227" s="1410" t="s">
        <v>1087</v>
      </c>
      <c r="C227" s="1411">
        <v>2020</v>
      </c>
      <c r="D227" s="1410">
        <v>1022000</v>
      </c>
      <c r="E227" s="1412">
        <v>1021000</v>
      </c>
      <c r="F227" s="1413">
        <v>15530</v>
      </c>
      <c r="G227" s="1410">
        <v>1.7706</v>
      </c>
      <c r="H227" s="1412">
        <v>0.14096106</v>
      </c>
      <c r="I227" s="1412">
        <v>3.4058000000000005E-5</v>
      </c>
      <c r="J227" s="1413">
        <v>6.0322999999999993</v>
      </c>
    </row>
    <row r="228" spans="2:10" x14ac:dyDescent="0.25">
      <c r="B228" s="1410" t="s">
        <v>716</v>
      </c>
      <c r="C228" s="1411">
        <v>2020</v>
      </c>
      <c r="D228" s="1410">
        <v>1022000</v>
      </c>
      <c r="E228" s="1412">
        <v>1021000</v>
      </c>
      <c r="F228" s="1413">
        <v>15530</v>
      </c>
      <c r="G228" s="1410">
        <v>1.7706</v>
      </c>
      <c r="H228" s="1412">
        <v>0.14096106</v>
      </c>
      <c r="I228" s="1412">
        <v>3.4058000000000005E-5</v>
      </c>
      <c r="J228" s="1413">
        <v>6.0322999999999993</v>
      </c>
    </row>
    <row r="229" spans="2:10" x14ac:dyDescent="0.25">
      <c r="B229" s="1410" t="s">
        <v>717</v>
      </c>
      <c r="C229" s="1411">
        <v>2020</v>
      </c>
      <c r="D229" s="1410">
        <v>1022000</v>
      </c>
      <c r="E229" s="1412">
        <v>1021000</v>
      </c>
      <c r="F229" s="1413">
        <v>15530</v>
      </c>
      <c r="G229" s="1410">
        <v>1.7706</v>
      </c>
      <c r="H229" s="1412">
        <v>0.14096106</v>
      </c>
      <c r="I229" s="1412">
        <v>3.4058000000000005E-5</v>
      </c>
      <c r="J229" s="1413">
        <v>6.0322999999999993</v>
      </c>
    </row>
    <row r="230" spans="2:10" x14ac:dyDescent="0.25">
      <c r="B230" s="1410" t="s">
        <v>912</v>
      </c>
      <c r="C230" s="1411">
        <v>2020</v>
      </c>
      <c r="D230" s="1410">
        <v>1211000</v>
      </c>
      <c r="E230" s="1412">
        <v>1205000</v>
      </c>
      <c r="F230" s="1413">
        <v>1052000</v>
      </c>
      <c r="G230" s="1410">
        <v>18.605999999999998</v>
      </c>
      <c r="H230" s="1412">
        <v>0.162991</v>
      </c>
      <c r="I230" s="1412">
        <v>3.0018999999999998E-4</v>
      </c>
      <c r="J230" s="1413">
        <v>23.607999999999997</v>
      </c>
    </row>
    <row r="231" spans="2:10" x14ac:dyDescent="0.25">
      <c r="B231" s="1410" t="s">
        <v>910</v>
      </c>
      <c r="C231" s="1411">
        <v>2020</v>
      </c>
      <c r="D231" s="1410">
        <v>1591000</v>
      </c>
      <c r="E231" s="1412">
        <v>703100</v>
      </c>
      <c r="F231" s="1413">
        <v>286400</v>
      </c>
      <c r="G231" s="1410">
        <v>39.366999999999997</v>
      </c>
      <c r="H231" s="1412">
        <v>0.11210000000000001</v>
      </c>
      <c r="I231" s="1412">
        <v>2.5360000000000001E-2</v>
      </c>
      <c r="J231" s="1413">
        <v>46.16</v>
      </c>
    </row>
    <row r="232" spans="2:10" x14ac:dyDescent="0.25">
      <c r="B232" s="1410" t="s">
        <v>913</v>
      </c>
      <c r="C232" s="1411">
        <v>2020</v>
      </c>
      <c r="D232" s="1410">
        <v>1252000</v>
      </c>
      <c r="E232" s="1412">
        <v>1245000</v>
      </c>
      <c r="F232" s="1413">
        <v>1078000</v>
      </c>
      <c r="G232" s="1410">
        <v>24.533999999999999</v>
      </c>
      <c r="H232" s="1412">
        <v>0.16861900000000002</v>
      </c>
      <c r="I232" s="1412">
        <v>3.8906999999999999E-4</v>
      </c>
      <c r="J232" s="1413">
        <v>29.833999999999996</v>
      </c>
    </row>
    <row r="233" spans="2:10" x14ac:dyDescent="0.25">
      <c r="B233" s="1410" t="s">
        <v>1081</v>
      </c>
      <c r="C233" s="1411">
        <v>2020</v>
      </c>
      <c r="D233" s="1410">
        <v>1190000</v>
      </c>
      <c r="E233" s="1412">
        <v>52190</v>
      </c>
      <c r="F233" s="1413">
        <v>29260</v>
      </c>
      <c r="G233" s="1410">
        <v>3.8701999999999996</v>
      </c>
      <c r="H233" s="1412">
        <v>8.4535000000000009E-3</v>
      </c>
      <c r="I233" s="1412">
        <v>-3.824488E-3</v>
      </c>
      <c r="J233" s="1413">
        <v>3.1251000000000002</v>
      </c>
    </row>
    <row r="234" spans="2:10" x14ac:dyDescent="0.25">
      <c r="B234" s="1410" t="s">
        <v>815</v>
      </c>
      <c r="C234" s="1411">
        <v>2020</v>
      </c>
      <c r="D234" s="1410">
        <v>1190000</v>
      </c>
      <c r="E234" s="1412">
        <v>52190</v>
      </c>
      <c r="F234" s="1413">
        <v>29260</v>
      </c>
      <c r="G234" s="1410">
        <v>3.8701999999999996</v>
      </c>
      <c r="H234" s="1412">
        <v>8.4535000000000009E-3</v>
      </c>
      <c r="I234" s="1412">
        <v>-3.824488E-3</v>
      </c>
      <c r="J234" s="1413">
        <v>3.1251000000000002</v>
      </c>
    </row>
    <row r="235" spans="2:10" x14ac:dyDescent="0.25">
      <c r="B235" s="1410" t="s">
        <v>824</v>
      </c>
      <c r="C235" s="1411">
        <v>2020</v>
      </c>
      <c r="D235" s="1410">
        <v>1190000</v>
      </c>
      <c r="E235" s="1412">
        <v>52190</v>
      </c>
      <c r="F235" s="1413">
        <v>29260</v>
      </c>
      <c r="G235" s="1410">
        <v>3.8701999999999996</v>
      </c>
      <c r="H235" s="1412">
        <v>8.4535000000000009E-3</v>
      </c>
      <c r="I235" s="1412">
        <v>-3.824488E-3</v>
      </c>
      <c r="J235" s="1413">
        <v>3.1251000000000002</v>
      </c>
    </row>
    <row r="236" spans="2:10" ht="13" thickBot="1" x14ac:dyDescent="0.3">
      <c r="B236" s="1414" t="s">
        <v>1088</v>
      </c>
      <c r="C236" s="1415">
        <v>2020</v>
      </c>
      <c r="D236" s="1414">
        <v>1384000</v>
      </c>
      <c r="E236" s="1416">
        <v>1384000</v>
      </c>
      <c r="F236" s="1417">
        <v>5066</v>
      </c>
      <c r="G236" s="1414">
        <v>78.656899999999993</v>
      </c>
      <c r="H236" s="1416">
        <v>0.27494000000000002</v>
      </c>
      <c r="I236" s="1416">
        <v>2.3319E-3</v>
      </c>
      <c r="J236" s="1417">
        <v>87.680599999999998</v>
      </c>
    </row>
    <row r="237" spans="2:10" x14ac:dyDescent="0.25">
      <c r="B237" s="1406" t="s">
        <v>1085</v>
      </c>
      <c r="C237" s="1407">
        <v>2025</v>
      </c>
      <c r="D237" s="1406">
        <v>1093000</v>
      </c>
      <c r="E237" s="1408">
        <v>1092000</v>
      </c>
      <c r="F237" s="1409">
        <v>3984</v>
      </c>
      <c r="G237" s="1406">
        <v>5.7702</v>
      </c>
      <c r="H237" s="1408">
        <v>0.18462100000000001</v>
      </c>
      <c r="I237" s="1408">
        <v>8.6159999999999991E-4</v>
      </c>
      <c r="J237" s="1409">
        <v>11.5953</v>
      </c>
    </row>
    <row r="238" spans="2:10" x14ac:dyDescent="0.25">
      <c r="B238" s="1410" t="s">
        <v>283</v>
      </c>
      <c r="C238" s="1411">
        <v>2025</v>
      </c>
      <c r="D238" s="1410">
        <v>1093000</v>
      </c>
      <c r="E238" s="1412">
        <v>1092000</v>
      </c>
      <c r="F238" s="1413">
        <v>3984</v>
      </c>
      <c r="G238" s="1410">
        <v>5.7702</v>
      </c>
      <c r="H238" s="1412">
        <v>0.18462100000000001</v>
      </c>
      <c r="I238" s="1412">
        <v>8.6159999999999991E-4</v>
      </c>
      <c r="J238" s="1413">
        <v>11.5953</v>
      </c>
    </row>
    <row r="239" spans="2:10" x14ac:dyDescent="0.25">
      <c r="B239" s="1410" t="s">
        <v>1086</v>
      </c>
      <c r="C239" s="1411">
        <v>2025</v>
      </c>
      <c r="D239" s="1410">
        <v>1093000</v>
      </c>
      <c r="E239" s="1412">
        <v>1092000</v>
      </c>
      <c r="F239" s="1413">
        <v>3984</v>
      </c>
      <c r="G239" s="1410">
        <v>5.7702</v>
      </c>
      <c r="H239" s="1412">
        <v>0.18462100000000001</v>
      </c>
      <c r="I239" s="1412">
        <v>8.6159999999999991E-4</v>
      </c>
      <c r="J239" s="1413">
        <v>11.5953</v>
      </c>
    </row>
    <row r="240" spans="2:10" x14ac:dyDescent="0.25">
      <c r="B240" s="1410" t="s">
        <v>681</v>
      </c>
      <c r="C240" s="1411">
        <v>2025</v>
      </c>
      <c r="D240" s="1410">
        <v>1093000</v>
      </c>
      <c r="E240" s="1412">
        <v>1092000</v>
      </c>
      <c r="F240" s="1413">
        <v>3984</v>
      </c>
      <c r="G240" s="1410">
        <v>5.7702</v>
      </c>
      <c r="H240" s="1412">
        <v>0.18462100000000001</v>
      </c>
      <c r="I240" s="1412">
        <v>8.6159999999999991E-4</v>
      </c>
      <c r="J240" s="1413">
        <v>11.5953</v>
      </c>
    </row>
    <row r="241" spans="2:10" x14ac:dyDescent="0.25">
      <c r="B241" s="1410" t="s">
        <v>682</v>
      </c>
      <c r="C241" s="1411">
        <v>2025</v>
      </c>
      <c r="D241" s="1410">
        <v>-1185000</v>
      </c>
      <c r="E241" s="1412">
        <v>0</v>
      </c>
      <c r="F241" s="1413">
        <v>0</v>
      </c>
      <c r="G241" s="1410">
        <v>-85.800000000000011</v>
      </c>
      <c r="H241" s="1412">
        <v>0.54700000000000004</v>
      </c>
      <c r="I241" s="1412">
        <v>-1.8286999999999999E-3</v>
      </c>
      <c r="J241" s="1413">
        <v>-70.08</v>
      </c>
    </row>
    <row r="242" spans="2:10" x14ac:dyDescent="0.25">
      <c r="B242" s="1410" t="s">
        <v>683</v>
      </c>
      <c r="C242" s="1411">
        <v>2025</v>
      </c>
      <c r="D242" s="1410">
        <v>1787000</v>
      </c>
      <c r="E242" s="1412">
        <v>1356000</v>
      </c>
      <c r="F242" s="1413">
        <v>23200</v>
      </c>
      <c r="G242" s="1410">
        <v>145.11000000000001</v>
      </c>
      <c r="H242" s="1412">
        <v>0.20658799999999999</v>
      </c>
      <c r="I242" s="1412">
        <v>2.1538999999999998E-3</v>
      </c>
      <c r="J242" s="1413">
        <v>150.89999999999998</v>
      </c>
    </row>
    <row r="243" spans="2:10" x14ac:dyDescent="0.25">
      <c r="B243" s="1410" t="s">
        <v>698</v>
      </c>
      <c r="C243" s="1411">
        <v>2025</v>
      </c>
      <c r="D243" s="1410">
        <v>1787000</v>
      </c>
      <c r="E243" s="1412">
        <v>1356000</v>
      </c>
      <c r="F243" s="1413">
        <v>23200</v>
      </c>
      <c r="G243" s="1410">
        <v>145.11000000000001</v>
      </c>
      <c r="H243" s="1412">
        <v>0.20658799999999999</v>
      </c>
      <c r="I243" s="1412">
        <v>2.1538999999999998E-3</v>
      </c>
      <c r="J243" s="1413">
        <v>150.89999999999998</v>
      </c>
    </row>
    <row r="244" spans="2:10" x14ac:dyDescent="0.25">
      <c r="B244" s="1410" t="s">
        <v>684</v>
      </c>
      <c r="C244" s="1411">
        <v>2025</v>
      </c>
      <c r="D244" s="1410">
        <v>1787000</v>
      </c>
      <c r="E244" s="1412">
        <v>1356000</v>
      </c>
      <c r="F244" s="1413">
        <v>23200</v>
      </c>
      <c r="G244" s="1410">
        <v>145.11000000000001</v>
      </c>
      <c r="H244" s="1412">
        <v>0.20658799999999999</v>
      </c>
      <c r="I244" s="1412">
        <v>2.1538999999999998E-3</v>
      </c>
      <c r="J244" s="1413">
        <v>150.89999999999998</v>
      </c>
    </row>
    <row r="245" spans="2:10" x14ac:dyDescent="0.25">
      <c r="B245" s="1410" t="s">
        <v>1087</v>
      </c>
      <c r="C245" s="1411">
        <v>2025</v>
      </c>
      <c r="D245" s="1410">
        <v>1022000</v>
      </c>
      <c r="E245" s="1412">
        <v>1021000</v>
      </c>
      <c r="F245" s="1413">
        <v>15530</v>
      </c>
      <c r="G245" s="1410">
        <v>1.7374000000000001</v>
      </c>
      <c r="H245" s="1412">
        <v>0.14096106999999999</v>
      </c>
      <c r="I245" s="1412">
        <v>3.3522000000000002E-5</v>
      </c>
      <c r="J245" s="1413">
        <v>5.9969999999999999</v>
      </c>
    </row>
    <row r="246" spans="2:10" x14ac:dyDescent="0.25">
      <c r="B246" s="1410" t="s">
        <v>716</v>
      </c>
      <c r="C246" s="1411">
        <v>2025</v>
      </c>
      <c r="D246" s="1410">
        <v>1022000</v>
      </c>
      <c r="E246" s="1412">
        <v>1021000</v>
      </c>
      <c r="F246" s="1413">
        <v>15530</v>
      </c>
      <c r="G246" s="1410">
        <v>1.7374000000000001</v>
      </c>
      <c r="H246" s="1412">
        <v>0.14096106999999999</v>
      </c>
      <c r="I246" s="1412">
        <v>3.3522000000000002E-5</v>
      </c>
      <c r="J246" s="1413">
        <v>5.9969999999999999</v>
      </c>
    </row>
    <row r="247" spans="2:10" x14ac:dyDescent="0.25">
      <c r="B247" s="1410" t="s">
        <v>717</v>
      </c>
      <c r="C247" s="1411">
        <v>2025</v>
      </c>
      <c r="D247" s="1410">
        <v>1022000</v>
      </c>
      <c r="E247" s="1412">
        <v>1021000</v>
      </c>
      <c r="F247" s="1413">
        <v>15530</v>
      </c>
      <c r="G247" s="1410">
        <v>1.7374000000000001</v>
      </c>
      <c r="H247" s="1412">
        <v>0.14096106999999999</v>
      </c>
      <c r="I247" s="1412">
        <v>3.3522000000000002E-5</v>
      </c>
      <c r="J247" s="1413">
        <v>5.9969999999999999</v>
      </c>
    </row>
    <row r="248" spans="2:10" x14ac:dyDescent="0.25">
      <c r="B248" s="1410" t="s">
        <v>912</v>
      </c>
      <c r="C248" s="1411">
        <v>2025</v>
      </c>
      <c r="D248" s="1410">
        <v>1210000</v>
      </c>
      <c r="E248" s="1412">
        <v>1203000</v>
      </c>
      <c r="F248" s="1413">
        <v>1052000</v>
      </c>
      <c r="G248" s="1410">
        <v>18.323</v>
      </c>
      <c r="H248" s="1412">
        <v>0.16309799999999999</v>
      </c>
      <c r="I248" s="1412">
        <v>2.9605000000000001E-4</v>
      </c>
      <c r="J248" s="1413">
        <v>23.334</v>
      </c>
    </row>
    <row r="249" spans="2:10" x14ac:dyDescent="0.25">
      <c r="B249" s="1410" t="s">
        <v>910</v>
      </c>
      <c r="C249" s="1411">
        <v>2025</v>
      </c>
      <c r="D249" s="1410">
        <v>1588000</v>
      </c>
      <c r="E249" s="1412">
        <v>698600</v>
      </c>
      <c r="F249" s="1413">
        <v>286300</v>
      </c>
      <c r="G249" s="1410">
        <v>38.775999999999996</v>
      </c>
      <c r="H249" s="1412">
        <v>0.1116</v>
      </c>
      <c r="I249" s="1412">
        <v>2.5360000000000001E-2</v>
      </c>
      <c r="J249" s="1413">
        <v>45.71</v>
      </c>
    </row>
    <row r="250" spans="2:10" x14ac:dyDescent="0.25">
      <c r="B250" s="1410" t="s">
        <v>913</v>
      </c>
      <c r="C250" s="1411">
        <v>2025</v>
      </c>
      <c r="D250" s="1410">
        <v>1251000</v>
      </c>
      <c r="E250" s="1412">
        <v>1243000</v>
      </c>
      <c r="F250" s="1413">
        <v>1078000</v>
      </c>
      <c r="G250" s="1410">
        <v>24.223999999999997</v>
      </c>
      <c r="H250" s="1412">
        <v>0.16872600000000001</v>
      </c>
      <c r="I250" s="1412">
        <v>3.8451000000000002E-4</v>
      </c>
      <c r="J250" s="1413">
        <v>29.523000000000003</v>
      </c>
    </row>
    <row r="251" spans="2:10" x14ac:dyDescent="0.25">
      <c r="B251" s="1410" t="s">
        <v>1081</v>
      </c>
      <c r="C251" s="1411">
        <v>2025</v>
      </c>
      <c r="D251" s="1410">
        <v>1190000</v>
      </c>
      <c r="E251" s="1412">
        <v>51790</v>
      </c>
      <c r="F251" s="1413">
        <v>29250</v>
      </c>
      <c r="G251" s="1410">
        <v>3.8201000000000001</v>
      </c>
      <c r="H251" s="1412">
        <v>8.410599999999999E-3</v>
      </c>
      <c r="I251" s="1412">
        <v>-3.8247120000000001E-3</v>
      </c>
      <c r="J251" s="1413">
        <v>3.0718000000000001</v>
      </c>
    </row>
    <row r="252" spans="2:10" x14ac:dyDescent="0.25">
      <c r="B252" s="1410" t="s">
        <v>815</v>
      </c>
      <c r="C252" s="1411">
        <v>2025</v>
      </c>
      <c r="D252" s="1410">
        <v>1190000</v>
      </c>
      <c r="E252" s="1412">
        <v>51790</v>
      </c>
      <c r="F252" s="1413">
        <v>29250</v>
      </c>
      <c r="G252" s="1410">
        <v>3.8201000000000001</v>
      </c>
      <c r="H252" s="1412">
        <v>8.410599999999999E-3</v>
      </c>
      <c r="I252" s="1412">
        <v>-3.8247120000000001E-3</v>
      </c>
      <c r="J252" s="1413">
        <v>3.0718000000000001</v>
      </c>
    </row>
    <row r="253" spans="2:10" x14ac:dyDescent="0.25">
      <c r="B253" s="1410" t="s">
        <v>824</v>
      </c>
      <c r="C253" s="1411">
        <v>2025</v>
      </c>
      <c r="D253" s="1410">
        <v>1190000</v>
      </c>
      <c r="E253" s="1412">
        <v>51790</v>
      </c>
      <c r="F253" s="1413">
        <v>29250</v>
      </c>
      <c r="G253" s="1410">
        <v>3.8201000000000001</v>
      </c>
      <c r="H253" s="1412">
        <v>8.410599999999999E-3</v>
      </c>
      <c r="I253" s="1412">
        <v>-3.8247120000000001E-3</v>
      </c>
      <c r="J253" s="1413">
        <v>3.0718000000000001</v>
      </c>
    </row>
    <row r="254" spans="2:10" ht="13" thickBot="1" x14ac:dyDescent="0.3">
      <c r="B254" s="1414" t="s">
        <v>1088</v>
      </c>
      <c r="C254" s="1415">
        <v>2025</v>
      </c>
      <c r="D254" s="1414">
        <v>1384000</v>
      </c>
      <c r="E254" s="1416">
        <v>1383000</v>
      </c>
      <c r="F254" s="1417">
        <v>5053</v>
      </c>
      <c r="G254" s="1414">
        <v>78.616100000000003</v>
      </c>
      <c r="H254" s="1416">
        <v>0.27494000000000002</v>
      </c>
      <c r="I254" s="1416">
        <v>2.3316999999999999E-3</v>
      </c>
      <c r="J254" s="1417">
        <v>87.639700000000005</v>
      </c>
    </row>
    <row r="255" spans="2:10" x14ac:dyDescent="0.25">
      <c r="B255" s="1406" t="s">
        <v>1085</v>
      </c>
      <c r="C255" s="1407">
        <v>2030</v>
      </c>
      <c r="D255" s="1406">
        <v>1092000</v>
      </c>
      <c r="E255" s="1408">
        <v>1092000</v>
      </c>
      <c r="F255" s="1409">
        <v>3981</v>
      </c>
      <c r="G255" s="1406">
        <v>5.7552000000000003</v>
      </c>
      <c r="H255" s="1408">
        <v>0.18462100000000001</v>
      </c>
      <c r="I255" s="1408">
        <v>8.6129999999999996E-4</v>
      </c>
      <c r="J255" s="1409">
        <v>11.5802</v>
      </c>
    </row>
    <row r="256" spans="2:10" x14ac:dyDescent="0.25">
      <c r="B256" s="1410" t="s">
        <v>283</v>
      </c>
      <c r="C256" s="1411">
        <v>2030</v>
      </c>
      <c r="D256" s="1410">
        <v>1092000</v>
      </c>
      <c r="E256" s="1412">
        <v>1092000</v>
      </c>
      <c r="F256" s="1413">
        <v>3981</v>
      </c>
      <c r="G256" s="1410">
        <v>5.7552000000000003</v>
      </c>
      <c r="H256" s="1412">
        <v>0.18462100000000001</v>
      </c>
      <c r="I256" s="1412">
        <v>8.6129999999999996E-4</v>
      </c>
      <c r="J256" s="1413">
        <v>11.5802</v>
      </c>
    </row>
    <row r="257" spans="2:10" x14ac:dyDescent="0.25">
      <c r="B257" s="1410" t="s">
        <v>1086</v>
      </c>
      <c r="C257" s="1411">
        <v>2030</v>
      </c>
      <c r="D257" s="1410">
        <v>1092000</v>
      </c>
      <c r="E257" s="1412">
        <v>1092000</v>
      </c>
      <c r="F257" s="1413">
        <v>3981</v>
      </c>
      <c r="G257" s="1410">
        <v>5.7552000000000003</v>
      </c>
      <c r="H257" s="1412">
        <v>0.18462100000000001</v>
      </c>
      <c r="I257" s="1412">
        <v>8.6129999999999996E-4</v>
      </c>
      <c r="J257" s="1413">
        <v>11.5802</v>
      </c>
    </row>
    <row r="258" spans="2:10" x14ac:dyDescent="0.25">
      <c r="B258" s="1410" t="s">
        <v>681</v>
      </c>
      <c r="C258" s="1411">
        <v>2030</v>
      </c>
      <c r="D258" s="1410">
        <v>1092000</v>
      </c>
      <c r="E258" s="1412">
        <v>1092000</v>
      </c>
      <c r="F258" s="1413">
        <v>3981</v>
      </c>
      <c r="G258" s="1410">
        <v>5.7552000000000003</v>
      </c>
      <c r="H258" s="1412">
        <v>0.18462100000000001</v>
      </c>
      <c r="I258" s="1412">
        <v>8.6129999999999996E-4</v>
      </c>
      <c r="J258" s="1413">
        <v>11.5802</v>
      </c>
    </row>
    <row r="259" spans="2:10" x14ac:dyDescent="0.25">
      <c r="B259" s="1410" t="s">
        <v>682</v>
      </c>
      <c r="C259" s="1411">
        <v>2030</v>
      </c>
      <c r="D259" s="1410">
        <v>-1185000</v>
      </c>
      <c r="E259" s="1412">
        <v>0</v>
      </c>
      <c r="F259" s="1413">
        <v>0</v>
      </c>
      <c r="G259" s="1410">
        <v>-85.800000000000011</v>
      </c>
      <c r="H259" s="1412">
        <v>0.54700000000000004</v>
      </c>
      <c r="I259" s="1412">
        <v>-1.8286999999999999E-3</v>
      </c>
      <c r="J259" s="1413">
        <v>-70.08</v>
      </c>
    </row>
    <row r="260" spans="2:10" x14ac:dyDescent="0.25">
      <c r="B260" s="1410" t="s">
        <v>683</v>
      </c>
      <c r="C260" s="1411">
        <v>2030</v>
      </c>
      <c r="D260" s="1410">
        <v>1749000</v>
      </c>
      <c r="E260" s="1412">
        <v>1310000</v>
      </c>
      <c r="F260" s="1413">
        <v>19790</v>
      </c>
      <c r="G260" s="1410">
        <v>134.88</v>
      </c>
      <c r="H260" s="1412">
        <v>0.20275799999999999</v>
      </c>
      <c r="I260" s="1412">
        <v>1.9713E-3</v>
      </c>
      <c r="J260" s="1413">
        <v>140.09</v>
      </c>
    </row>
    <row r="261" spans="2:10" x14ac:dyDescent="0.25">
      <c r="B261" s="1410" t="s">
        <v>698</v>
      </c>
      <c r="C261" s="1411">
        <v>2030</v>
      </c>
      <c r="D261" s="1410">
        <v>1749000</v>
      </c>
      <c r="E261" s="1412">
        <v>1310000</v>
      </c>
      <c r="F261" s="1413">
        <v>19790</v>
      </c>
      <c r="G261" s="1410">
        <v>134.88</v>
      </c>
      <c r="H261" s="1412">
        <v>0.20275799999999999</v>
      </c>
      <c r="I261" s="1412">
        <v>1.9713E-3</v>
      </c>
      <c r="J261" s="1413">
        <v>140.09</v>
      </c>
    </row>
    <row r="262" spans="2:10" x14ac:dyDescent="0.25">
      <c r="B262" s="1410" t="s">
        <v>684</v>
      </c>
      <c r="C262" s="1411">
        <v>2030</v>
      </c>
      <c r="D262" s="1410">
        <v>1749000</v>
      </c>
      <c r="E262" s="1412">
        <v>1310000</v>
      </c>
      <c r="F262" s="1413">
        <v>19790</v>
      </c>
      <c r="G262" s="1410">
        <v>134.88</v>
      </c>
      <c r="H262" s="1412">
        <v>0.20275799999999999</v>
      </c>
      <c r="I262" s="1412">
        <v>1.9713E-3</v>
      </c>
      <c r="J262" s="1413">
        <v>140.09</v>
      </c>
    </row>
    <row r="263" spans="2:10" x14ac:dyDescent="0.25">
      <c r="B263" s="1410" t="s">
        <v>1087</v>
      </c>
      <c r="C263" s="1411">
        <v>2030</v>
      </c>
      <c r="D263" s="1410">
        <v>1022000</v>
      </c>
      <c r="E263" s="1412">
        <v>1021000</v>
      </c>
      <c r="F263" s="1413">
        <v>15520</v>
      </c>
      <c r="G263" s="1410">
        <v>1.716</v>
      </c>
      <c r="H263" s="1412">
        <v>0.14096175</v>
      </c>
      <c r="I263" s="1412">
        <v>3.3149000000000004E-5</v>
      </c>
      <c r="J263" s="1413">
        <v>5.9754000000000005</v>
      </c>
    </row>
    <row r="264" spans="2:10" x14ac:dyDescent="0.25">
      <c r="B264" s="1410" t="s">
        <v>716</v>
      </c>
      <c r="C264" s="1411">
        <v>2030</v>
      </c>
      <c r="D264" s="1410">
        <v>1022000</v>
      </c>
      <c r="E264" s="1412">
        <v>1021000</v>
      </c>
      <c r="F264" s="1413">
        <v>15520</v>
      </c>
      <c r="G264" s="1410">
        <v>1.716</v>
      </c>
      <c r="H264" s="1412">
        <v>0.14096175</v>
      </c>
      <c r="I264" s="1412">
        <v>3.3149000000000004E-5</v>
      </c>
      <c r="J264" s="1413">
        <v>5.9754000000000005</v>
      </c>
    </row>
    <row r="265" spans="2:10" x14ac:dyDescent="0.25">
      <c r="B265" s="1410" t="s">
        <v>717</v>
      </c>
      <c r="C265" s="1411">
        <v>2030</v>
      </c>
      <c r="D265" s="1410">
        <v>1022000</v>
      </c>
      <c r="E265" s="1412">
        <v>1021000</v>
      </c>
      <c r="F265" s="1413">
        <v>15520</v>
      </c>
      <c r="G265" s="1410">
        <v>1.716</v>
      </c>
      <c r="H265" s="1412">
        <v>0.14096175</v>
      </c>
      <c r="I265" s="1412">
        <v>3.3149000000000004E-5</v>
      </c>
      <c r="J265" s="1413">
        <v>5.9754000000000005</v>
      </c>
    </row>
    <row r="266" spans="2:10" x14ac:dyDescent="0.25">
      <c r="B266" s="1410" t="s">
        <v>912</v>
      </c>
      <c r="C266" s="1411">
        <v>2030</v>
      </c>
      <c r="D266" s="1410">
        <v>1209000</v>
      </c>
      <c r="E266" s="1412">
        <v>1202000</v>
      </c>
      <c r="F266" s="1413">
        <v>1052000</v>
      </c>
      <c r="G266" s="1410">
        <v>18.120999999999999</v>
      </c>
      <c r="H266" s="1412">
        <v>0.16412299999999999</v>
      </c>
      <c r="I266" s="1412">
        <v>2.9339999999999998E-4</v>
      </c>
      <c r="J266" s="1413">
        <v>23.162000000000003</v>
      </c>
    </row>
    <row r="267" spans="2:10" x14ac:dyDescent="0.25">
      <c r="B267" s="1410" t="s">
        <v>910</v>
      </c>
      <c r="C267" s="1411">
        <v>2030</v>
      </c>
      <c r="D267" s="1410">
        <v>1586000</v>
      </c>
      <c r="E267" s="1412">
        <v>697000</v>
      </c>
      <c r="F267" s="1413">
        <v>286200</v>
      </c>
      <c r="G267" s="1410">
        <v>38.404000000000003</v>
      </c>
      <c r="H267" s="1412">
        <v>0.1118</v>
      </c>
      <c r="I267" s="1412">
        <v>2.5350000000000001E-2</v>
      </c>
      <c r="J267" s="1413">
        <v>45.44</v>
      </c>
    </row>
    <row r="268" spans="2:10" x14ac:dyDescent="0.25">
      <c r="B268" s="1410" t="s">
        <v>913</v>
      </c>
      <c r="C268" s="1411">
        <v>2030</v>
      </c>
      <c r="D268" s="1410">
        <v>1250000</v>
      </c>
      <c r="E268" s="1412">
        <v>1242000</v>
      </c>
      <c r="F268" s="1413">
        <v>1078000</v>
      </c>
      <c r="G268" s="1410">
        <v>24.006999999999998</v>
      </c>
      <c r="H268" s="1412">
        <v>0.16975200000000001</v>
      </c>
      <c r="I268" s="1412">
        <v>3.8147000000000002E-4</v>
      </c>
      <c r="J268" s="1413">
        <v>29.335999999999999</v>
      </c>
    </row>
    <row r="269" spans="2:10" x14ac:dyDescent="0.25">
      <c r="B269" s="1410" t="s">
        <v>1081</v>
      </c>
      <c r="C269" s="1411">
        <v>2030</v>
      </c>
      <c r="D269" s="1410">
        <v>1190000</v>
      </c>
      <c r="E269" s="1412">
        <v>51650</v>
      </c>
      <c r="F269" s="1413">
        <v>29230</v>
      </c>
      <c r="G269" s="1410">
        <v>3.7881999999999998</v>
      </c>
      <c r="H269" s="1412">
        <v>8.4297E-3</v>
      </c>
      <c r="I269" s="1412">
        <v>-3.825901E-3</v>
      </c>
      <c r="J269" s="1413">
        <v>3.0377000000000001</v>
      </c>
    </row>
    <row r="270" spans="2:10" x14ac:dyDescent="0.25">
      <c r="B270" s="1410" t="s">
        <v>815</v>
      </c>
      <c r="C270" s="1411">
        <v>2030</v>
      </c>
      <c r="D270" s="1410">
        <v>1190000</v>
      </c>
      <c r="E270" s="1412">
        <v>51650</v>
      </c>
      <c r="F270" s="1413">
        <v>29230</v>
      </c>
      <c r="G270" s="1410">
        <v>3.7881999999999998</v>
      </c>
      <c r="H270" s="1412">
        <v>8.4297E-3</v>
      </c>
      <c r="I270" s="1412">
        <v>-3.825901E-3</v>
      </c>
      <c r="J270" s="1413">
        <v>3.0377000000000001</v>
      </c>
    </row>
    <row r="271" spans="2:10" x14ac:dyDescent="0.25">
      <c r="B271" s="1410" t="s">
        <v>824</v>
      </c>
      <c r="C271" s="1411">
        <v>2030</v>
      </c>
      <c r="D271" s="1410">
        <v>1190000</v>
      </c>
      <c r="E271" s="1412">
        <v>51650</v>
      </c>
      <c r="F271" s="1413">
        <v>29230</v>
      </c>
      <c r="G271" s="1410">
        <v>3.7881999999999998</v>
      </c>
      <c r="H271" s="1412">
        <v>8.4297E-3</v>
      </c>
      <c r="I271" s="1412">
        <v>-3.825901E-3</v>
      </c>
      <c r="J271" s="1413">
        <v>3.0377000000000001</v>
      </c>
    </row>
    <row r="272" spans="2:10" ht="13" thickBot="1" x14ac:dyDescent="0.3">
      <c r="B272" s="1414" t="s">
        <v>1088</v>
      </c>
      <c r="C272" s="1415">
        <v>2030</v>
      </c>
      <c r="D272" s="1414">
        <v>1384000</v>
      </c>
      <c r="E272" s="1416">
        <v>1383000</v>
      </c>
      <c r="F272" s="1417">
        <v>5048</v>
      </c>
      <c r="G272" s="1414">
        <v>78.598700000000008</v>
      </c>
      <c r="H272" s="1416">
        <v>0.27484000000000003</v>
      </c>
      <c r="I272" s="1416">
        <v>2.3306000000000004E-3</v>
      </c>
      <c r="J272" s="1417">
        <v>87.622100000000003</v>
      </c>
    </row>
    <row r="273" spans="2:10" x14ac:dyDescent="0.25">
      <c r="B273" s="1406" t="s">
        <v>1085</v>
      </c>
      <c r="C273" s="1407">
        <v>2035</v>
      </c>
      <c r="D273" s="1406">
        <v>1092000</v>
      </c>
      <c r="E273" s="1408">
        <v>1092000</v>
      </c>
      <c r="F273" s="1409">
        <v>3981</v>
      </c>
      <c r="G273" s="1406">
        <v>5.7552000000000003</v>
      </c>
      <c r="H273" s="1408">
        <v>0.18462100000000001</v>
      </c>
      <c r="I273" s="1408">
        <v>8.6129999999999996E-4</v>
      </c>
      <c r="J273" s="1409">
        <v>11.5802</v>
      </c>
    </row>
    <row r="274" spans="2:10" x14ac:dyDescent="0.25">
      <c r="B274" s="1410" t="s">
        <v>283</v>
      </c>
      <c r="C274" s="1411">
        <v>2035</v>
      </c>
      <c r="D274" s="1410">
        <v>1092000</v>
      </c>
      <c r="E274" s="1412">
        <v>1092000</v>
      </c>
      <c r="F274" s="1413">
        <v>3981</v>
      </c>
      <c r="G274" s="1410">
        <v>5.7552000000000003</v>
      </c>
      <c r="H274" s="1412">
        <v>0.18462100000000001</v>
      </c>
      <c r="I274" s="1412">
        <v>8.6129999999999996E-4</v>
      </c>
      <c r="J274" s="1413">
        <v>11.5802</v>
      </c>
    </row>
    <row r="275" spans="2:10" x14ac:dyDescent="0.25">
      <c r="B275" s="1410" t="s">
        <v>1086</v>
      </c>
      <c r="C275" s="1411">
        <v>2035</v>
      </c>
      <c r="D275" s="1410">
        <v>1092000</v>
      </c>
      <c r="E275" s="1412">
        <v>1092000</v>
      </c>
      <c r="F275" s="1413">
        <v>3981</v>
      </c>
      <c r="G275" s="1410">
        <v>5.7552000000000003</v>
      </c>
      <c r="H275" s="1412">
        <v>0.18462100000000001</v>
      </c>
      <c r="I275" s="1412">
        <v>8.6129999999999996E-4</v>
      </c>
      <c r="J275" s="1413">
        <v>11.5802</v>
      </c>
    </row>
    <row r="276" spans="2:10" x14ac:dyDescent="0.25">
      <c r="B276" s="1410" t="s">
        <v>681</v>
      </c>
      <c r="C276" s="1411">
        <v>2035</v>
      </c>
      <c r="D276" s="1410">
        <v>1092000</v>
      </c>
      <c r="E276" s="1412">
        <v>1092000</v>
      </c>
      <c r="F276" s="1413">
        <v>3981</v>
      </c>
      <c r="G276" s="1410">
        <v>5.7552000000000003</v>
      </c>
      <c r="H276" s="1412">
        <v>0.18462100000000001</v>
      </c>
      <c r="I276" s="1412">
        <v>8.6129999999999996E-4</v>
      </c>
      <c r="J276" s="1413">
        <v>11.5802</v>
      </c>
    </row>
    <row r="277" spans="2:10" x14ac:dyDescent="0.25">
      <c r="B277" s="1410" t="s">
        <v>682</v>
      </c>
      <c r="C277" s="1411">
        <v>2035</v>
      </c>
      <c r="D277" s="1410">
        <v>-1185000</v>
      </c>
      <c r="E277" s="1412">
        <v>0</v>
      </c>
      <c r="F277" s="1413">
        <v>0</v>
      </c>
      <c r="G277" s="1410">
        <v>-85.800000000000011</v>
      </c>
      <c r="H277" s="1412">
        <v>0.54700000000000004</v>
      </c>
      <c r="I277" s="1412">
        <v>-1.8286999999999999E-3</v>
      </c>
      <c r="J277" s="1413">
        <v>-70.08</v>
      </c>
    </row>
    <row r="278" spans="2:10" x14ac:dyDescent="0.25">
      <c r="B278" s="1410" t="s">
        <v>683</v>
      </c>
      <c r="C278" s="1411">
        <v>2035</v>
      </c>
      <c r="D278" s="1410">
        <v>1745000</v>
      </c>
      <c r="E278" s="1412">
        <v>1314000</v>
      </c>
      <c r="F278" s="1413">
        <v>18650</v>
      </c>
      <c r="G278" s="1410">
        <v>132.69</v>
      </c>
      <c r="H278" s="1412">
        <v>0.204869</v>
      </c>
      <c r="I278" s="1412">
        <v>1.9257999999999999E-3</v>
      </c>
      <c r="J278" s="1413">
        <v>137.91999999999999</v>
      </c>
    </row>
    <row r="279" spans="2:10" x14ac:dyDescent="0.25">
      <c r="B279" s="1410" t="s">
        <v>698</v>
      </c>
      <c r="C279" s="1411">
        <v>2035</v>
      </c>
      <c r="D279" s="1410">
        <v>1745000</v>
      </c>
      <c r="E279" s="1412">
        <v>1314000</v>
      </c>
      <c r="F279" s="1413">
        <v>18650</v>
      </c>
      <c r="G279" s="1410">
        <v>132.69</v>
      </c>
      <c r="H279" s="1412">
        <v>0.204869</v>
      </c>
      <c r="I279" s="1412">
        <v>1.9257999999999999E-3</v>
      </c>
      <c r="J279" s="1413">
        <v>137.91999999999999</v>
      </c>
    </row>
    <row r="280" spans="2:10" x14ac:dyDescent="0.25">
      <c r="B280" s="1410" t="s">
        <v>684</v>
      </c>
      <c r="C280" s="1411">
        <v>2035</v>
      </c>
      <c r="D280" s="1410">
        <v>1745000</v>
      </c>
      <c r="E280" s="1412">
        <v>1314000</v>
      </c>
      <c r="F280" s="1413">
        <v>18650</v>
      </c>
      <c r="G280" s="1410">
        <v>132.69</v>
      </c>
      <c r="H280" s="1412">
        <v>0.204869</v>
      </c>
      <c r="I280" s="1412">
        <v>1.9257999999999999E-3</v>
      </c>
      <c r="J280" s="1413">
        <v>137.91999999999999</v>
      </c>
    </row>
    <row r="281" spans="2:10" x14ac:dyDescent="0.25">
      <c r="B281" s="1410" t="s">
        <v>1087</v>
      </c>
      <c r="C281" s="1411">
        <v>2035</v>
      </c>
      <c r="D281" s="1410">
        <v>1022000</v>
      </c>
      <c r="E281" s="1412">
        <v>1021000</v>
      </c>
      <c r="F281" s="1413">
        <v>15520</v>
      </c>
      <c r="G281" s="1410">
        <v>1.7124999999999999</v>
      </c>
      <c r="H281" s="1412">
        <v>0.14096197999999999</v>
      </c>
      <c r="I281" s="1412">
        <v>3.3061000000000001E-5</v>
      </c>
      <c r="J281" s="1413">
        <v>5.9708000000000006</v>
      </c>
    </row>
    <row r="282" spans="2:10" x14ac:dyDescent="0.25">
      <c r="B282" s="1410" t="s">
        <v>716</v>
      </c>
      <c r="C282" s="1411">
        <v>2035</v>
      </c>
      <c r="D282" s="1410">
        <v>1022000</v>
      </c>
      <c r="E282" s="1412">
        <v>1021000</v>
      </c>
      <c r="F282" s="1413">
        <v>15520</v>
      </c>
      <c r="G282" s="1410">
        <v>1.7124999999999999</v>
      </c>
      <c r="H282" s="1412">
        <v>0.14096197999999999</v>
      </c>
      <c r="I282" s="1412">
        <v>3.3061000000000001E-5</v>
      </c>
      <c r="J282" s="1413">
        <v>5.9708000000000006</v>
      </c>
    </row>
    <row r="283" spans="2:10" x14ac:dyDescent="0.25">
      <c r="B283" s="1410" t="s">
        <v>717</v>
      </c>
      <c r="C283" s="1411">
        <v>2035</v>
      </c>
      <c r="D283" s="1410">
        <v>1022000</v>
      </c>
      <c r="E283" s="1412">
        <v>1021000</v>
      </c>
      <c r="F283" s="1413">
        <v>15520</v>
      </c>
      <c r="G283" s="1410">
        <v>1.7124999999999999</v>
      </c>
      <c r="H283" s="1412">
        <v>0.14096197999999999</v>
      </c>
      <c r="I283" s="1412">
        <v>3.3061000000000001E-5</v>
      </c>
      <c r="J283" s="1413">
        <v>5.9708000000000006</v>
      </c>
    </row>
    <row r="284" spans="2:10" x14ac:dyDescent="0.25">
      <c r="B284" s="1410" t="s">
        <v>912</v>
      </c>
      <c r="C284" s="1411">
        <v>2035</v>
      </c>
      <c r="D284" s="1410">
        <v>1209000</v>
      </c>
      <c r="E284" s="1412">
        <v>1202000</v>
      </c>
      <c r="F284" s="1413">
        <v>1052000</v>
      </c>
      <c r="G284" s="1410">
        <v>18.088999999999999</v>
      </c>
      <c r="H284" s="1412">
        <v>0.16412499999999999</v>
      </c>
      <c r="I284" s="1412">
        <v>2.9260000000000001E-4</v>
      </c>
      <c r="J284" s="1413">
        <v>23.119</v>
      </c>
    </row>
    <row r="285" spans="2:10" x14ac:dyDescent="0.25">
      <c r="B285" s="1410" t="s">
        <v>910</v>
      </c>
      <c r="C285" s="1411">
        <v>2035</v>
      </c>
      <c r="D285" s="1410">
        <v>1586000</v>
      </c>
      <c r="E285" s="1412">
        <v>697100</v>
      </c>
      <c r="F285" s="1413">
        <v>286100</v>
      </c>
      <c r="G285" s="1410">
        <v>38.326999999999998</v>
      </c>
      <c r="H285" s="1412">
        <v>0.1118</v>
      </c>
      <c r="I285" s="1412">
        <v>2.5350000000000001E-2</v>
      </c>
      <c r="J285" s="1413">
        <v>45.39</v>
      </c>
    </row>
    <row r="286" spans="2:10" x14ac:dyDescent="0.25">
      <c r="B286" s="1410" t="s">
        <v>913</v>
      </c>
      <c r="C286" s="1411">
        <v>2035</v>
      </c>
      <c r="D286" s="1410">
        <v>1250000</v>
      </c>
      <c r="E286" s="1412">
        <v>1242000</v>
      </c>
      <c r="F286" s="1413">
        <v>1078000</v>
      </c>
      <c r="G286" s="1410">
        <v>23.973999999999997</v>
      </c>
      <c r="H286" s="1412">
        <v>0.169854</v>
      </c>
      <c r="I286" s="1412">
        <v>3.8064000000000001E-4</v>
      </c>
      <c r="J286" s="1413">
        <v>29.302</v>
      </c>
    </row>
    <row r="287" spans="2:10" x14ac:dyDescent="0.25">
      <c r="B287" s="1410" t="s">
        <v>1081</v>
      </c>
      <c r="C287" s="1411">
        <v>2035</v>
      </c>
      <c r="D287" s="1410">
        <v>1190000</v>
      </c>
      <c r="E287" s="1412">
        <v>51660</v>
      </c>
      <c r="F287" s="1413">
        <v>29230</v>
      </c>
      <c r="G287" s="1410">
        <v>3.7818000000000001</v>
      </c>
      <c r="H287" s="1412">
        <v>8.4370999999999995E-3</v>
      </c>
      <c r="I287" s="1412">
        <v>-3.8259590000000003E-3</v>
      </c>
      <c r="J287" s="1413">
        <v>3.0312999999999999</v>
      </c>
    </row>
    <row r="288" spans="2:10" x14ac:dyDescent="0.25">
      <c r="B288" s="1410" t="s">
        <v>815</v>
      </c>
      <c r="C288" s="1411">
        <v>2035</v>
      </c>
      <c r="D288" s="1410">
        <v>1190000</v>
      </c>
      <c r="E288" s="1412">
        <v>51660</v>
      </c>
      <c r="F288" s="1413">
        <v>29230</v>
      </c>
      <c r="G288" s="1410">
        <v>3.7818000000000001</v>
      </c>
      <c r="H288" s="1412">
        <v>8.4370999999999995E-3</v>
      </c>
      <c r="I288" s="1412">
        <v>-3.8259590000000003E-3</v>
      </c>
      <c r="J288" s="1413">
        <v>3.0312999999999999</v>
      </c>
    </row>
    <row r="289" spans="2:10" x14ac:dyDescent="0.25">
      <c r="B289" s="1410" t="s">
        <v>824</v>
      </c>
      <c r="C289" s="1411">
        <v>2035</v>
      </c>
      <c r="D289" s="1410">
        <v>1190000</v>
      </c>
      <c r="E289" s="1412">
        <v>51660</v>
      </c>
      <c r="F289" s="1413">
        <v>29230</v>
      </c>
      <c r="G289" s="1410">
        <v>3.7818000000000001</v>
      </c>
      <c r="H289" s="1412">
        <v>8.4370999999999995E-3</v>
      </c>
      <c r="I289" s="1412">
        <v>-3.8259590000000003E-3</v>
      </c>
      <c r="J289" s="1413">
        <v>3.0312999999999999</v>
      </c>
    </row>
    <row r="290" spans="2:10" ht="13" thickBot="1" x14ac:dyDescent="0.3">
      <c r="B290" s="1414" t="s">
        <v>1088</v>
      </c>
      <c r="C290" s="1415">
        <v>2035</v>
      </c>
      <c r="D290" s="1414">
        <v>1384000</v>
      </c>
      <c r="E290" s="1416">
        <v>1383000</v>
      </c>
      <c r="F290" s="1417">
        <v>5034</v>
      </c>
      <c r="G290" s="1414">
        <v>78.571100000000001</v>
      </c>
      <c r="H290" s="1416">
        <v>0.27494000000000002</v>
      </c>
      <c r="I290" s="1416">
        <v>2.3304000000000003E-3</v>
      </c>
      <c r="J290" s="1417">
        <v>87.594300000000004</v>
      </c>
    </row>
    <row r="291" spans="2:10" x14ac:dyDescent="0.25">
      <c r="B291" s="1406" t="s">
        <v>1085</v>
      </c>
      <c r="C291" s="1407">
        <v>2040</v>
      </c>
      <c r="D291" s="1406">
        <v>1092000</v>
      </c>
      <c r="E291" s="1408">
        <v>1092000</v>
      </c>
      <c r="F291" s="1409">
        <v>3975</v>
      </c>
      <c r="G291" s="1406">
        <v>5.7453000000000003</v>
      </c>
      <c r="H291" s="1408">
        <v>0.18462200000000001</v>
      </c>
      <c r="I291" s="1408">
        <v>8.6110000000000006E-4</v>
      </c>
      <c r="J291" s="1409">
        <v>11.577199999999999</v>
      </c>
    </row>
    <row r="292" spans="2:10" x14ac:dyDescent="0.25">
      <c r="B292" s="1410" t="s">
        <v>283</v>
      </c>
      <c r="C292" s="1411">
        <v>2040</v>
      </c>
      <c r="D292" s="1410">
        <v>1092000</v>
      </c>
      <c r="E292" s="1412">
        <v>1092000</v>
      </c>
      <c r="F292" s="1413">
        <v>3975</v>
      </c>
      <c r="G292" s="1410">
        <v>5.7453000000000003</v>
      </c>
      <c r="H292" s="1412">
        <v>0.18462200000000001</v>
      </c>
      <c r="I292" s="1412">
        <v>8.6110000000000006E-4</v>
      </c>
      <c r="J292" s="1413">
        <v>11.577199999999999</v>
      </c>
    </row>
    <row r="293" spans="2:10" x14ac:dyDescent="0.25">
      <c r="B293" s="1410" t="s">
        <v>1086</v>
      </c>
      <c r="C293" s="1411">
        <v>2040</v>
      </c>
      <c r="D293" s="1410">
        <v>1092000</v>
      </c>
      <c r="E293" s="1412">
        <v>1092000</v>
      </c>
      <c r="F293" s="1413">
        <v>3975</v>
      </c>
      <c r="G293" s="1410">
        <v>5.7453000000000003</v>
      </c>
      <c r="H293" s="1412">
        <v>0.18462200000000001</v>
      </c>
      <c r="I293" s="1412">
        <v>8.6110000000000006E-4</v>
      </c>
      <c r="J293" s="1413">
        <v>11.577199999999999</v>
      </c>
    </row>
    <row r="294" spans="2:10" x14ac:dyDescent="0.25">
      <c r="B294" s="1410" t="s">
        <v>681</v>
      </c>
      <c r="C294" s="1411">
        <v>2040</v>
      </c>
      <c r="D294" s="1410">
        <v>1092000</v>
      </c>
      <c r="E294" s="1412">
        <v>1092000</v>
      </c>
      <c r="F294" s="1413">
        <v>3975</v>
      </c>
      <c r="G294" s="1410">
        <v>5.7453000000000003</v>
      </c>
      <c r="H294" s="1412">
        <v>0.18462200000000001</v>
      </c>
      <c r="I294" s="1412">
        <v>8.6110000000000006E-4</v>
      </c>
      <c r="J294" s="1413">
        <v>11.577199999999999</v>
      </c>
    </row>
    <row r="295" spans="2:10" x14ac:dyDescent="0.25">
      <c r="B295" s="1410" t="s">
        <v>682</v>
      </c>
      <c r="C295" s="1411">
        <v>2040</v>
      </c>
      <c r="D295" s="1410">
        <v>-1185000</v>
      </c>
      <c r="E295" s="1412">
        <v>0</v>
      </c>
      <c r="F295" s="1413">
        <v>0</v>
      </c>
      <c r="G295" s="1410">
        <v>-85.800000000000011</v>
      </c>
      <c r="H295" s="1412">
        <v>0.54700000000000004</v>
      </c>
      <c r="I295" s="1412">
        <v>-1.8286999999999999E-3</v>
      </c>
      <c r="J295" s="1413">
        <v>-70.08</v>
      </c>
    </row>
    <row r="296" spans="2:10" x14ac:dyDescent="0.25">
      <c r="B296" s="1410" t="s">
        <v>683</v>
      </c>
      <c r="C296" s="1411">
        <v>2040</v>
      </c>
      <c r="D296" s="1410">
        <v>1732000</v>
      </c>
      <c r="E296" s="1412">
        <v>1300000</v>
      </c>
      <c r="F296" s="1413">
        <v>17320</v>
      </c>
      <c r="G296" s="1410">
        <v>129.32</v>
      </c>
      <c r="H296" s="1412">
        <v>0.20383000000000001</v>
      </c>
      <c r="I296" s="1412">
        <v>1.8644999999999998E-3</v>
      </c>
      <c r="J296" s="1413">
        <v>134.37</v>
      </c>
    </row>
    <row r="297" spans="2:10" x14ac:dyDescent="0.25">
      <c r="B297" s="1410" t="s">
        <v>698</v>
      </c>
      <c r="C297" s="1411">
        <v>2040</v>
      </c>
      <c r="D297" s="1410">
        <v>1732000</v>
      </c>
      <c r="E297" s="1412">
        <v>1300000</v>
      </c>
      <c r="F297" s="1413">
        <v>17320</v>
      </c>
      <c r="G297" s="1410">
        <v>129.32</v>
      </c>
      <c r="H297" s="1412">
        <v>0.20383000000000001</v>
      </c>
      <c r="I297" s="1412">
        <v>1.8644999999999998E-3</v>
      </c>
      <c r="J297" s="1413">
        <v>134.37</v>
      </c>
    </row>
    <row r="298" spans="2:10" x14ac:dyDescent="0.25">
      <c r="B298" s="1410" t="s">
        <v>684</v>
      </c>
      <c r="C298" s="1411">
        <v>2040</v>
      </c>
      <c r="D298" s="1410">
        <v>1732000</v>
      </c>
      <c r="E298" s="1412">
        <v>1300000</v>
      </c>
      <c r="F298" s="1413">
        <v>17320</v>
      </c>
      <c r="G298" s="1410">
        <v>129.32</v>
      </c>
      <c r="H298" s="1412">
        <v>0.20383000000000001</v>
      </c>
      <c r="I298" s="1412">
        <v>1.8644999999999998E-3</v>
      </c>
      <c r="J298" s="1413">
        <v>134.37</v>
      </c>
    </row>
    <row r="299" spans="2:10" x14ac:dyDescent="0.25">
      <c r="B299" s="1410" t="s">
        <v>1087</v>
      </c>
      <c r="C299" s="1411">
        <v>2040</v>
      </c>
      <c r="D299" s="1410">
        <v>1022000</v>
      </c>
      <c r="E299" s="1412">
        <v>1021000</v>
      </c>
      <c r="F299" s="1413">
        <v>15510</v>
      </c>
      <c r="G299" s="1410">
        <v>1.7054</v>
      </c>
      <c r="H299" s="1412">
        <v>0.14096210000000001</v>
      </c>
      <c r="I299" s="1412">
        <v>3.2928999999999996E-5</v>
      </c>
      <c r="J299" s="1413">
        <v>5.9637000000000002</v>
      </c>
    </row>
    <row r="300" spans="2:10" x14ac:dyDescent="0.25">
      <c r="B300" s="1410" t="s">
        <v>716</v>
      </c>
      <c r="C300" s="1411">
        <v>2040</v>
      </c>
      <c r="D300" s="1410">
        <v>1022000</v>
      </c>
      <c r="E300" s="1412">
        <v>1021000</v>
      </c>
      <c r="F300" s="1413">
        <v>15510</v>
      </c>
      <c r="G300" s="1410">
        <v>1.7054</v>
      </c>
      <c r="H300" s="1412">
        <v>0.14096210000000001</v>
      </c>
      <c r="I300" s="1412">
        <v>3.2928999999999996E-5</v>
      </c>
      <c r="J300" s="1413">
        <v>5.9637000000000002</v>
      </c>
    </row>
    <row r="301" spans="2:10" x14ac:dyDescent="0.25">
      <c r="B301" s="1410" t="s">
        <v>717</v>
      </c>
      <c r="C301" s="1411">
        <v>2040</v>
      </c>
      <c r="D301" s="1410">
        <v>1022000</v>
      </c>
      <c r="E301" s="1412">
        <v>1021000</v>
      </c>
      <c r="F301" s="1413">
        <v>15510</v>
      </c>
      <c r="G301" s="1410">
        <v>1.7054</v>
      </c>
      <c r="H301" s="1412">
        <v>0.14096210000000001</v>
      </c>
      <c r="I301" s="1412">
        <v>3.2928999999999996E-5</v>
      </c>
      <c r="J301" s="1413">
        <v>5.9637000000000002</v>
      </c>
    </row>
    <row r="302" spans="2:10" x14ac:dyDescent="0.25">
      <c r="B302" s="1410" t="s">
        <v>912</v>
      </c>
      <c r="C302" s="1411">
        <v>2040</v>
      </c>
      <c r="D302" s="1410">
        <v>1209000</v>
      </c>
      <c r="E302" s="1412">
        <v>1202000</v>
      </c>
      <c r="F302" s="1413">
        <v>1052000</v>
      </c>
      <c r="G302" s="1410">
        <v>18.032</v>
      </c>
      <c r="H302" s="1412">
        <v>0.16412599999999999</v>
      </c>
      <c r="I302" s="1412">
        <v>2.9167E-4</v>
      </c>
      <c r="J302" s="1413">
        <v>23.062000000000001</v>
      </c>
    </row>
    <row r="303" spans="2:10" x14ac:dyDescent="0.25">
      <c r="B303" s="1410" t="s">
        <v>910</v>
      </c>
      <c r="C303" s="1411">
        <v>2040</v>
      </c>
      <c r="D303" s="1410">
        <v>1586000</v>
      </c>
      <c r="E303" s="1412">
        <v>696600</v>
      </c>
      <c r="F303" s="1413">
        <v>286100</v>
      </c>
      <c r="G303" s="1410">
        <v>38.200000000000003</v>
      </c>
      <c r="H303" s="1412">
        <v>0.1118</v>
      </c>
      <c r="I303" s="1412">
        <v>2.5350000000000001E-2</v>
      </c>
      <c r="J303" s="1413">
        <v>45.3</v>
      </c>
    </row>
    <row r="304" spans="2:10" x14ac:dyDescent="0.25">
      <c r="B304" s="1410" t="s">
        <v>913</v>
      </c>
      <c r="C304" s="1411">
        <v>2040</v>
      </c>
      <c r="D304" s="1410">
        <v>1250000</v>
      </c>
      <c r="E304" s="1412">
        <v>1242000</v>
      </c>
      <c r="F304" s="1413">
        <v>1078000</v>
      </c>
      <c r="G304" s="1410">
        <v>23.914999999999999</v>
      </c>
      <c r="H304" s="1412">
        <v>0.16985499999999998</v>
      </c>
      <c r="I304" s="1412">
        <v>3.7957999999999997E-4</v>
      </c>
      <c r="J304" s="1413">
        <v>29.232999999999997</v>
      </c>
    </row>
    <row r="305" spans="2:10" x14ac:dyDescent="0.25">
      <c r="B305" s="1410" t="s">
        <v>1081</v>
      </c>
      <c r="C305" s="1411">
        <v>2040</v>
      </c>
      <c r="D305" s="1410">
        <v>1190000</v>
      </c>
      <c r="E305" s="1412">
        <v>51610</v>
      </c>
      <c r="F305" s="1413">
        <v>29220</v>
      </c>
      <c r="G305" s="1410">
        <v>3.7715999999999998</v>
      </c>
      <c r="H305" s="1412">
        <v>8.4332999999999995E-3</v>
      </c>
      <c r="I305" s="1412">
        <v>-3.8260220000000001E-3</v>
      </c>
      <c r="J305" s="1413">
        <v>3.02</v>
      </c>
    </row>
    <row r="306" spans="2:10" x14ac:dyDescent="0.25">
      <c r="B306" s="1410" t="s">
        <v>815</v>
      </c>
      <c r="C306" s="1411">
        <v>2040</v>
      </c>
      <c r="D306" s="1410">
        <v>1190000</v>
      </c>
      <c r="E306" s="1412">
        <v>51610</v>
      </c>
      <c r="F306" s="1413">
        <v>29220</v>
      </c>
      <c r="G306" s="1410">
        <v>3.7715999999999998</v>
      </c>
      <c r="H306" s="1412">
        <v>8.4332999999999995E-3</v>
      </c>
      <c r="I306" s="1412">
        <v>-3.8260220000000001E-3</v>
      </c>
      <c r="J306" s="1413">
        <v>3.02</v>
      </c>
    </row>
    <row r="307" spans="2:10" x14ac:dyDescent="0.25">
      <c r="B307" s="1410" t="s">
        <v>824</v>
      </c>
      <c r="C307" s="1411">
        <v>2040</v>
      </c>
      <c r="D307" s="1410">
        <v>1190000</v>
      </c>
      <c r="E307" s="1412">
        <v>51610</v>
      </c>
      <c r="F307" s="1413">
        <v>29220</v>
      </c>
      <c r="G307" s="1410">
        <v>3.7715999999999998</v>
      </c>
      <c r="H307" s="1412">
        <v>8.4332999999999995E-3</v>
      </c>
      <c r="I307" s="1412">
        <v>-3.8260220000000001E-3</v>
      </c>
      <c r="J307" s="1413">
        <v>3.02</v>
      </c>
    </row>
    <row r="308" spans="2:10" ht="13" thickBot="1" x14ac:dyDescent="0.3">
      <c r="B308" s="1414" t="s">
        <v>1088</v>
      </c>
      <c r="C308" s="1415">
        <v>2040</v>
      </c>
      <c r="D308" s="1414">
        <v>1384000</v>
      </c>
      <c r="E308" s="1416">
        <v>1383000</v>
      </c>
      <c r="F308" s="1417">
        <v>5034</v>
      </c>
      <c r="G308" s="1414">
        <v>78.571100000000001</v>
      </c>
      <c r="H308" s="1416">
        <v>0.27494000000000002</v>
      </c>
      <c r="I308" s="1416">
        <v>2.3304000000000003E-3</v>
      </c>
      <c r="J308" s="1417">
        <v>87.594300000000004</v>
      </c>
    </row>
    <row r="309" spans="2:10" x14ac:dyDescent="0.25">
      <c r="B309" s="1406" t="s">
        <v>1085</v>
      </c>
      <c r="C309" s="1407">
        <v>2045</v>
      </c>
      <c r="D309" s="1406">
        <v>1092000</v>
      </c>
      <c r="E309" s="1408">
        <v>1092000</v>
      </c>
      <c r="F309" s="1409">
        <v>3972</v>
      </c>
      <c r="G309" s="1406">
        <v>5.7410000000000005</v>
      </c>
      <c r="H309" s="1408">
        <v>0.18462200000000001</v>
      </c>
      <c r="I309" s="1408">
        <v>8.6110000000000006E-4</v>
      </c>
      <c r="J309" s="1409">
        <v>11.565900000000001</v>
      </c>
    </row>
    <row r="310" spans="2:10" x14ac:dyDescent="0.25">
      <c r="B310" s="1410" t="s">
        <v>283</v>
      </c>
      <c r="C310" s="1411">
        <v>2045</v>
      </c>
      <c r="D310" s="1410">
        <v>1092000</v>
      </c>
      <c r="E310" s="1412">
        <v>1092000</v>
      </c>
      <c r="F310" s="1413">
        <v>3972</v>
      </c>
      <c r="G310" s="1410">
        <v>5.7410000000000005</v>
      </c>
      <c r="H310" s="1412">
        <v>0.18462200000000001</v>
      </c>
      <c r="I310" s="1412">
        <v>8.6110000000000006E-4</v>
      </c>
      <c r="J310" s="1413">
        <v>11.565900000000001</v>
      </c>
    </row>
    <row r="311" spans="2:10" x14ac:dyDescent="0.25">
      <c r="B311" s="1410" t="s">
        <v>1086</v>
      </c>
      <c r="C311" s="1411">
        <v>2045</v>
      </c>
      <c r="D311" s="1410">
        <v>1092000</v>
      </c>
      <c r="E311" s="1412">
        <v>1092000</v>
      </c>
      <c r="F311" s="1413">
        <v>3972</v>
      </c>
      <c r="G311" s="1410">
        <v>5.7410000000000005</v>
      </c>
      <c r="H311" s="1412">
        <v>0.18462200000000001</v>
      </c>
      <c r="I311" s="1412">
        <v>8.6110000000000006E-4</v>
      </c>
      <c r="J311" s="1413">
        <v>11.565900000000001</v>
      </c>
    </row>
    <row r="312" spans="2:10" x14ac:dyDescent="0.25">
      <c r="B312" s="1410" t="s">
        <v>681</v>
      </c>
      <c r="C312" s="1411">
        <v>2045</v>
      </c>
      <c r="D312" s="1410">
        <v>1092000</v>
      </c>
      <c r="E312" s="1412">
        <v>1092000</v>
      </c>
      <c r="F312" s="1413">
        <v>3972</v>
      </c>
      <c r="G312" s="1410">
        <v>5.7410000000000005</v>
      </c>
      <c r="H312" s="1412">
        <v>0.18462200000000001</v>
      </c>
      <c r="I312" s="1412">
        <v>8.6110000000000006E-4</v>
      </c>
      <c r="J312" s="1413">
        <v>11.565900000000001</v>
      </c>
    </row>
    <row r="313" spans="2:10" x14ac:dyDescent="0.25">
      <c r="B313" s="1410" t="s">
        <v>682</v>
      </c>
      <c r="C313" s="1411">
        <v>2045</v>
      </c>
      <c r="D313" s="1410">
        <v>-1185000</v>
      </c>
      <c r="E313" s="1412">
        <v>0</v>
      </c>
      <c r="F313" s="1413">
        <v>0</v>
      </c>
      <c r="G313" s="1410">
        <v>-85.800000000000011</v>
      </c>
      <c r="H313" s="1412">
        <v>0.54700000000000004</v>
      </c>
      <c r="I313" s="1412">
        <v>-1.8286999999999999E-3</v>
      </c>
      <c r="J313" s="1413">
        <v>-70.08</v>
      </c>
    </row>
    <row r="314" spans="2:10" x14ac:dyDescent="0.25">
      <c r="B314" s="1410" t="s">
        <v>683</v>
      </c>
      <c r="C314" s="1411">
        <v>2045</v>
      </c>
      <c r="D314" s="1410">
        <v>1724000</v>
      </c>
      <c r="E314" s="1412">
        <v>1293000</v>
      </c>
      <c r="F314" s="1413">
        <v>15580</v>
      </c>
      <c r="G314" s="1410">
        <v>126.71000000000001</v>
      </c>
      <c r="H314" s="1412">
        <v>0.203795</v>
      </c>
      <c r="I314" s="1412">
        <v>1.8165E-3</v>
      </c>
      <c r="J314" s="1413">
        <v>131.63</v>
      </c>
    </row>
    <row r="315" spans="2:10" x14ac:dyDescent="0.25">
      <c r="B315" s="1410" t="s">
        <v>698</v>
      </c>
      <c r="C315" s="1411">
        <v>2045</v>
      </c>
      <c r="D315" s="1410">
        <v>1724000</v>
      </c>
      <c r="E315" s="1412">
        <v>1293000</v>
      </c>
      <c r="F315" s="1413">
        <v>15580</v>
      </c>
      <c r="G315" s="1410">
        <v>126.71000000000001</v>
      </c>
      <c r="H315" s="1412">
        <v>0.203795</v>
      </c>
      <c r="I315" s="1412">
        <v>1.8165E-3</v>
      </c>
      <c r="J315" s="1413">
        <v>131.63</v>
      </c>
    </row>
    <row r="316" spans="2:10" x14ac:dyDescent="0.25">
      <c r="B316" s="1410" t="s">
        <v>684</v>
      </c>
      <c r="C316" s="1411">
        <v>2045</v>
      </c>
      <c r="D316" s="1410">
        <v>1724000</v>
      </c>
      <c r="E316" s="1412">
        <v>1293000</v>
      </c>
      <c r="F316" s="1413">
        <v>15580</v>
      </c>
      <c r="G316" s="1410">
        <v>126.71000000000001</v>
      </c>
      <c r="H316" s="1412">
        <v>0.203795</v>
      </c>
      <c r="I316" s="1412">
        <v>1.8165E-3</v>
      </c>
      <c r="J316" s="1413">
        <v>131.63</v>
      </c>
    </row>
    <row r="317" spans="2:10" x14ac:dyDescent="0.25">
      <c r="B317" s="1410" t="s">
        <v>1087</v>
      </c>
      <c r="C317" s="1411">
        <v>2045</v>
      </c>
      <c r="D317" s="1410">
        <v>1022000</v>
      </c>
      <c r="E317" s="1412">
        <v>1021000</v>
      </c>
      <c r="F317" s="1413">
        <v>15510</v>
      </c>
      <c r="G317" s="1410">
        <v>1.6997</v>
      </c>
      <c r="H317" s="1412">
        <v>0.14096223999999999</v>
      </c>
      <c r="I317" s="1412">
        <v>3.2833999999999998E-5</v>
      </c>
      <c r="J317" s="1413">
        <v>5.9580000000000002</v>
      </c>
    </row>
    <row r="318" spans="2:10" x14ac:dyDescent="0.25">
      <c r="B318" s="1410" t="s">
        <v>716</v>
      </c>
      <c r="C318" s="1411">
        <v>2045</v>
      </c>
      <c r="D318" s="1410">
        <v>1022000</v>
      </c>
      <c r="E318" s="1412">
        <v>1021000</v>
      </c>
      <c r="F318" s="1413">
        <v>15510</v>
      </c>
      <c r="G318" s="1410">
        <v>1.6997</v>
      </c>
      <c r="H318" s="1412">
        <v>0.14096223999999999</v>
      </c>
      <c r="I318" s="1412">
        <v>3.2833999999999998E-5</v>
      </c>
      <c r="J318" s="1413">
        <v>5.9580000000000002</v>
      </c>
    </row>
    <row r="319" spans="2:10" x14ac:dyDescent="0.25">
      <c r="B319" s="1410" t="s">
        <v>717</v>
      </c>
      <c r="C319" s="1411">
        <v>2045</v>
      </c>
      <c r="D319" s="1410">
        <v>1022000</v>
      </c>
      <c r="E319" s="1412">
        <v>1021000</v>
      </c>
      <c r="F319" s="1413">
        <v>15510</v>
      </c>
      <c r="G319" s="1410">
        <v>1.6997</v>
      </c>
      <c r="H319" s="1412">
        <v>0.14096223999999999</v>
      </c>
      <c r="I319" s="1412">
        <v>3.2833999999999998E-5</v>
      </c>
      <c r="J319" s="1413">
        <v>5.9580000000000002</v>
      </c>
    </row>
    <row r="320" spans="2:10" x14ac:dyDescent="0.25">
      <c r="B320" s="1410" t="s">
        <v>912</v>
      </c>
      <c r="C320" s="1411">
        <v>2045</v>
      </c>
      <c r="D320" s="1410">
        <v>1209000</v>
      </c>
      <c r="E320" s="1412">
        <v>1202000</v>
      </c>
      <c r="F320" s="1413">
        <v>1052000</v>
      </c>
      <c r="G320" s="1410">
        <v>17.989000000000001</v>
      </c>
      <c r="H320" s="1412">
        <v>0.164127</v>
      </c>
      <c r="I320" s="1412">
        <v>2.9079000000000003E-4</v>
      </c>
      <c r="J320" s="1413">
        <v>23.018999999999998</v>
      </c>
    </row>
    <row r="321" spans="2:10" x14ac:dyDescent="0.25">
      <c r="B321" s="1410" t="s">
        <v>910</v>
      </c>
      <c r="C321" s="1411">
        <v>2045</v>
      </c>
      <c r="D321" s="1410">
        <v>1586000</v>
      </c>
      <c r="E321" s="1412">
        <v>696300</v>
      </c>
      <c r="F321" s="1413">
        <v>286000</v>
      </c>
      <c r="G321" s="1410">
        <v>38.110999999999997</v>
      </c>
      <c r="H321" s="1412">
        <v>0.1118</v>
      </c>
      <c r="I321" s="1412">
        <v>2.5350000000000001E-2</v>
      </c>
      <c r="J321" s="1413">
        <v>45.23</v>
      </c>
    </row>
    <row r="322" spans="2:10" x14ac:dyDescent="0.25">
      <c r="B322" s="1410" t="s">
        <v>913</v>
      </c>
      <c r="C322" s="1411">
        <v>2045</v>
      </c>
      <c r="D322" s="1410">
        <v>1249000</v>
      </c>
      <c r="E322" s="1412">
        <v>1242000</v>
      </c>
      <c r="F322" s="1413">
        <v>1078000</v>
      </c>
      <c r="G322" s="1410">
        <v>23.861000000000001</v>
      </c>
      <c r="H322" s="1412">
        <v>0.16985599999999998</v>
      </c>
      <c r="I322" s="1412">
        <v>3.7867E-4</v>
      </c>
      <c r="J322" s="1413">
        <v>29.189</v>
      </c>
    </row>
    <row r="323" spans="2:10" x14ac:dyDescent="0.25">
      <c r="B323" s="1410" t="s">
        <v>1081</v>
      </c>
      <c r="C323" s="1411">
        <v>2045</v>
      </c>
      <c r="D323" s="1410">
        <v>1190000</v>
      </c>
      <c r="E323" s="1412">
        <v>51590</v>
      </c>
      <c r="F323" s="1413">
        <v>29220</v>
      </c>
      <c r="G323" s="1410">
        <v>3.7631000000000001</v>
      </c>
      <c r="H323" s="1412">
        <v>8.4335E-3</v>
      </c>
      <c r="I323" s="1412">
        <v>-3.8260760000000003E-3</v>
      </c>
      <c r="J323" s="1413">
        <v>3.0114000000000001</v>
      </c>
    </row>
    <row r="324" spans="2:10" x14ac:dyDescent="0.25">
      <c r="B324" s="1410" t="s">
        <v>815</v>
      </c>
      <c r="C324" s="1411">
        <v>2045</v>
      </c>
      <c r="D324" s="1410">
        <v>1190000</v>
      </c>
      <c r="E324" s="1412">
        <v>51590</v>
      </c>
      <c r="F324" s="1413">
        <v>29220</v>
      </c>
      <c r="G324" s="1410">
        <v>3.7631000000000001</v>
      </c>
      <c r="H324" s="1412">
        <v>8.4335E-3</v>
      </c>
      <c r="I324" s="1412">
        <v>-3.8260760000000003E-3</v>
      </c>
      <c r="J324" s="1413">
        <v>3.0114000000000001</v>
      </c>
    </row>
    <row r="325" spans="2:10" x14ac:dyDescent="0.25">
      <c r="B325" s="1410" t="s">
        <v>824</v>
      </c>
      <c r="C325" s="1411">
        <v>2045</v>
      </c>
      <c r="D325" s="1410">
        <v>1190000</v>
      </c>
      <c r="E325" s="1412">
        <v>51590</v>
      </c>
      <c r="F325" s="1413">
        <v>29220</v>
      </c>
      <c r="G325" s="1410">
        <v>3.7631000000000001</v>
      </c>
      <c r="H325" s="1412">
        <v>8.4335E-3</v>
      </c>
      <c r="I325" s="1412">
        <v>-3.8260760000000003E-3</v>
      </c>
      <c r="J325" s="1413">
        <v>3.0114000000000001</v>
      </c>
    </row>
    <row r="326" spans="2:10" ht="13" thickBot="1" x14ac:dyDescent="0.3">
      <c r="B326" s="1414" t="s">
        <v>1088</v>
      </c>
      <c r="C326" s="1415">
        <v>2045</v>
      </c>
      <c r="D326" s="1414">
        <v>1384000</v>
      </c>
      <c r="E326" s="1416">
        <v>1383000</v>
      </c>
      <c r="F326" s="1417">
        <v>5034</v>
      </c>
      <c r="G326" s="1414">
        <v>78.571100000000001</v>
      </c>
      <c r="H326" s="1416">
        <v>0.27494000000000002</v>
      </c>
      <c r="I326" s="1416">
        <v>2.3304000000000003E-3</v>
      </c>
      <c r="J326" s="1417">
        <v>87.594300000000004</v>
      </c>
    </row>
    <row r="327" spans="2:10" x14ac:dyDescent="0.25">
      <c r="B327" s="1406" t="s">
        <v>1085</v>
      </c>
      <c r="C327" s="1407">
        <v>2050</v>
      </c>
      <c r="D327" s="1406">
        <v>1092000</v>
      </c>
      <c r="E327" s="1408">
        <v>1092000</v>
      </c>
      <c r="F327" s="1409">
        <v>3971</v>
      </c>
      <c r="G327" s="1406">
        <v>5.7390999999999996</v>
      </c>
      <c r="H327" s="1408">
        <v>0.18462200000000001</v>
      </c>
      <c r="I327" s="1408">
        <v>8.61E-4</v>
      </c>
      <c r="J327" s="1409">
        <v>11.5648</v>
      </c>
    </row>
    <row r="328" spans="2:10" x14ac:dyDescent="0.25">
      <c r="B328" s="1410" t="s">
        <v>283</v>
      </c>
      <c r="C328" s="1411">
        <v>2050</v>
      </c>
      <c r="D328" s="1410">
        <v>1092000</v>
      </c>
      <c r="E328" s="1412">
        <v>1092000</v>
      </c>
      <c r="F328" s="1413">
        <v>3971</v>
      </c>
      <c r="G328" s="1410">
        <v>5.7390999999999996</v>
      </c>
      <c r="H328" s="1412">
        <v>0.18462200000000001</v>
      </c>
      <c r="I328" s="1412">
        <v>8.61E-4</v>
      </c>
      <c r="J328" s="1413">
        <v>11.5648</v>
      </c>
    </row>
    <row r="329" spans="2:10" x14ac:dyDescent="0.25">
      <c r="B329" s="1410" t="s">
        <v>1086</v>
      </c>
      <c r="C329" s="1411">
        <v>2050</v>
      </c>
      <c r="D329" s="1410">
        <v>1092000</v>
      </c>
      <c r="E329" s="1412">
        <v>1092000</v>
      </c>
      <c r="F329" s="1413">
        <v>3971</v>
      </c>
      <c r="G329" s="1410">
        <v>5.7390999999999996</v>
      </c>
      <c r="H329" s="1412">
        <v>0.18462200000000001</v>
      </c>
      <c r="I329" s="1412">
        <v>8.61E-4</v>
      </c>
      <c r="J329" s="1413">
        <v>11.5648</v>
      </c>
    </row>
    <row r="330" spans="2:10" x14ac:dyDescent="0.25">
      <c r="B330" s="1410" t="s">
        <v>681</v>
      </c>
      <c r="C330" s="1411">
        <v>2050</v>
      </c>
      <c r="D330" s="1410">
        <v>1092000</v>
      </c>
      <c r="E330" s="1412">
        <v>1092000</v>
      </c>
      <c r="F330" s="1413">
        <v>3971</v>
      </c>
      <c r="G330" s="1410">
        <v>5.7390999999999996</v>
      </c>
      <c r="H330" s="1412">
        <v>0.18462200000000001</v>
      </c>
      <c r="I330" s="1412">
        <v>8.61E-4</v>
      </c>
      <c r="J330" s="1413">
        <v>11.5648</v>
      </c>
    </row>
    <row r="331" spans="2:10" x14ac:dyDescent="0.25">
      <c r="B331" s="1410" t="s">
        <v>682</v>
      </c>
      <c r="C331" s="1411">
        <v>2050</v>
      </c>
      <c r="D331" s="1410">
        <v>-1185000</v>
      </c>
      <c r="E331" s="1412">
        <v>0</v>
      </c>
      <c r="F331" s="1413">
        <v>0</v>
      </c>
      <c r="G331" s="1410">
        <v>-85.800000000000011</v>
      </c>
      <c r="H331" s="1412">
        <v>0.54700000000000004</v>
      </c>
      <c r="I331" s="1412">
        <v>-1.8286999999999999E-3</v>
      </c>
      <c r="J331" s="1413">
        <v>-70.08</v>
      </c>
    </row>
    <row r="332" spans="2:10" x14ac:dyDescent="0.25">
      <c r="B332" s="1410" t="s">
        <v>683</v>
      </c>
      <c r="C332" s="1411">
        <v>2050</v>
      </c>
      <c r="D332" s="1410">
        <v>1721000</v>
      </c>
      <c r="E332" s="1412">
        <v>1293000</v>
      </c>
      <c r="F332" s="1413">
        <v>15050</v>
      </c>
      <c r="G332" s="1410">
        <v>125.08</v>
      </c>
      <c r="H332" s="1412">
        <v>0.20477100000000001</v>
      </c>
      <c r="I332" s="1412">
        <v>1.7827000000000001E-3</v>
      </c>
      <c r="J332" s="1413">
        <v>129.82</v>
      </c>
    </row>
    <row r="333" spans="2:10" x14ac:dyDescent="0.25">
      <c r="B333" s="1410" t="s">
        <v>698</v>
      </c>
      <c r="C333" s="1411">
        <v>2050</v>
      </c>
      <c r="D333" s="1410">
        <v>1721000</v>
      </c>
      <c r="E333" s="1412">
        <v>1293000</v>
      </c>
      <c r="F333" s="1413">
        <v>15050</v>
      </c>
      <c r="G333" s="1410">
        <v>125.08</v>
      </c>
      <c r="H333" s="1412">
        <v>0.20477100000000001</v>
      </c>
      <c r="I333" s="1412">
        <v>1.7827000000000001E-3</v>
      </c>
      <c r="J333" s="1413">
        <v>129.82</v>
      </c>
    </row>
    <row r="334" spans="2:10" x14ac:dyDescent="0.25">
      <c r="B334" s="1410" t="s">
        <v>684</v>
      </c>
      <c r="C334" s="1411">
        <v>2050</v>
      </c>
      <c r="D334" s="1410">
        <v>1721000</v>
      </c>
      <c r="E334" s="1412">
        <v>1293000</v>
      </c>
      <c r="F334" s="1413">
        <v>15050</v>
      </c>
      <c r="G334" s="1410">
        <v>125.08</v>
      </c>
      <c r="H334" s="1412">
        <v>0.20477100000000001</v>
      </c>
      <c r="I334" s="1412">
        <v>1.7827000000000001E-3</v>
      </c>
      <c r="J334" s="1413">
        <v>129.82</v>
      </c>
    </row>
    <row r="335" spans="2:10" x14ac:dyDescent="0.25">
      <c r="B335" s="1410" t="s">
        <v>1087</v>
      </c>
      <c r="C335" s="1411">
        <v>2050</v>
      </c>
      <c r="D335" s="1410">
        <v>1022000</v>
      </c>
      <c r="E335" s="1412">
        <v>1021000</v>
      </c>
      <c r="F335" s="1413">
        <v>15510</v>
      </c>
      <c r="G335" s="1410">
        <v>1.6964999999999999</v>
      </c>
      <c r="H335" s="1412">
        <v>0.14096238999999999</v>
      </c>
      <c r="I335" s="1412">
        <v>3.2765999999999998E-5</v>
      </c>
      <c r="J335" s="1413">
        <v>5.9536999999999995</v>
      </c>
    </row>
    <row r="336" spans="2:10" x14ac:dyDescent="0.25">
      <c r="B336" s="1410" t="s">
        <v>716</v>
      </c>
      <c r="C336" s="1411">
        <v>2050</v>
      </c>
      <c r="D336" s="1410">
        <v>1022000</v>
      </c>
      <c r="E336" s="1412">
        <v>1021000</v>
      </c>
      <c r="F336" s="1413">
        <v>15510</v>
      </c>
      <c r="G336" s="1410">
        <v>1.6964999999999999</v>
      </c>
      <c r="H336" s="1412">
        <v>0.14096238999999999</v>
      </c>
      <c r="I336" s="1412">
        <v>3.2765999999999998E-5</v>
      </c>
      <c r="J336" s="1413">
        <v>5.9536999999999995</v>
      </c>
    </row>
    <row r="337" spans="2:10" x14ac:dyDescent="0.25">
      <c r="B337" s="1410" t="s">
        <v>717</v>
      </c>
      <c r="C337" s="1411">
        <v>2050</v>
      </c>
      <c r="D337" s="1410">
        <v>1022000</v>
      </c>
      <c r="E337" s="1412">
        <v>1021000</v>
      </c>
      <c r="F337" s="1413">
        <v>15510</v>
      </c>
      <c r="G337" s="1410">
        <v>1.6964999999999999</v>
      </c>
      <c r="H337" s="1412">
        <v>0.14096238999999999</v>
      </c>
      <c r="I337" s="1412">
        <v>3.2765999999999998E-5</v>
      </c>
      <c r="J337" s="1413">
        <v>5.9536999999999995</v>
      </c>
    </row>
    <row r="338" spans="2:10" x14ac:dyDescent="0.25">
      <c r="B338" s="1410" t="s">
        <v>912</v>
      </c>
      <c r="C338" s="1411">
        <v>2050</v>
      </c>
      <c r="D338" s="1410">
        <v>1209000</v>
      </c>
      <c r="E338" s="1412">
        <v>1202000</v>
      </c>
      <c r="F338" s="1413">
        <v>1052000</v>
      </c>
      <c r="G338" s="1410">
        <v>17.969000000000001</v>
      </c>
      <c r="H338" s="1412">
        <v>0.164128</v>
      </c>
      <c r="I338" s="1412">
        <v>2.9025999999999998E-4</v>
      </c>
      <c r="J338" s="1413">
        <v>22.988</v>
      </c>
    </row>
    <row r="339" spans="2:10" x14ac:dyDescent="0.25">
      <c r="B339" s="1410" t="s">
        <v>910</v>
      </c>
      <c r="C339" s="1411">
        <v>2050</v>
      </c>
      <c r="D339" s="1410">
        <v>1585000</v>
      </c>
      <c r="E339" s="1412">
        <v>696300</v>
      </c>
      <c r="F339" s="1413">
        <v>286000</v>
      </c>
      <c r="G339" s="1410">
        <v>38.049999999999997</v>
      </c>
      <c r="H339" s="1412">
        <v>0.1118</v>
      </c>
      <c r="I339" s="1412">
        <v>2.5350000000000001E-2</v>
      </c>
      <c r="J339" s="1413">
        <v>45.19</v>
      </c>
    </row>
    <row r="340" spans="2:10" x14ac:dyDescent="0.25">
      <c r="B340" s="1410" t="s">
        <v>913</v>
      </c>
      <c r="C340" s="1411">
        <v>2050</v>
      </c>
      <c r="D340" s="1410">
        <v>1249000</v>
      </c>
      <c r="E340" s="1412">
        <v>1242000</v>
      </c>
      <c r="F340" s="1413">
        <v>1078000</v>
      </c>
      <c r="G340" s="1410">
        <v>23.84</v>
      </c>
      <c r="H340" s="1412">
        <v>0.16985799999999998</v>
      </c>
      <c r="I340" s="1412">
        <v>3.7813000000000001E-4</v>
      </c>
      <c r="J340" s="1413">
        <v>29.157000000000004</v>
      </c>
    </row>
    <row r="341" spans="2:10" x14ac:dyDescent="0.25">
      <c r="B341" s="1410" t="s">
        <v>1081</v>
      </c>
      <c r="C341" s="1411">
        <v>2050</v>
      </c>
      <c r="D341" s="1410">
        <v>1190000</v>
      </c>
      <c r="E341" s="1412">
        <v>51590</v>
      </c>
      <c r="F341" s="1413">
        <v>29220</v>
      </c>
      <c r="G341" s="1410">
        <v>3.7582</v>
      </c>
      <c r="H341" s="1412">
        <v>8.4366999999999984E-3</v>
      </c>
      <c r="I341" s="1412">
        <v>-3.8261190000000002E-3</v>
      </c>
      <c r="J341" s="1413">
        <v>3.0054000000000003</v>
      </c>
    </row>
    <row r="342" spans="2:10" x14ac:dyDescent="0.25">
      <c r="B342" s="1410" t="s">
        <v>815</v>
      </c>
      <c r="C342" s="1411">
        <v>2050</v>
      </c>
      <c r="D342" s="1410">
        <v>1190000</v>
      </c>
      <c r="E342" s="1412">
        <v>51590</v>
      </c>
      <c r="F342" s="1413">
        <v>29220</v>
      </c>
      <c r="G342" s="1410">
        <v>3.7582</v>
      </c>
      <c r="H342" s="1412">
        <v>8.4366999999999984E-3</v>
      </c>
      <c r="I342" s="1412">
        <v>-3.8261190000000002E-3</v>
      </c>
      <c r="J342" s="1413">
        <v>3.0054000000000003</v>
      </c>
    </row>
    <row r="343" spans="2:10" x14ac:dyDescent="0.25">
      <c r="B343" s="1410" t="s">
        <v>824</v>
      </c>
      <c r="C343" s="1411">
        <v>2050</v>
      </c>
      <c r="D343" s="1410">
        <v>1190000</v>
      </c>
      <c r="E343" s="1412">
        <v>51590</v>
      </c>
      <c r="F343" s="1413">
        <v>29220</v>
      </c>
      <c r="G343" s="1410">
        <v>3.7582</v>
      </c>
      <c r="H343" s="1412">
        <v>8.4366999999999984E-3</v>
      </c>
      <c r="I343" s="1412">
        <v>-3.8261190000000002E-3</v>
      </c>
      <c r="J343" s="1413">
        <v>3.0054000000000003</v>
      </c>
    </row>
    <row r="344" spans="2:10" ht="13" thickBot="1" x14ac:dyDescent="0.3">
      <c r="B344" s="1414" t="s">
        <v>1088</v>
      </c>
      <c r="C344" s="1415">
        <v>2050</v>
      </c>
      <c r="D344" s="1414">
        <v>1384000</v>
      </c>
      <c r="E344" s="1416">
        <v>1383000</v>
      </c>
      <c r="F344" s="1417">
        <v>5034</v>
      </c>
      <c r="G344" s="1414">
        <v>78.571100000000001</v>
      </c>
      <c r="H344" s="1416">
        <v>0.27494000000000002</v>
      </c>
      <c r="I344" s="1416">
        <v>2.3304000000000003E-3</v>
      </c>
      <c r="J344" s="1417">
        <v>87.594300000000004</v>
      </c>
    </row>
    <row r="345" spans="2:10" x14ac:dyDescent="0.25">
      <c r="B345" s="1406" t="s">
        <v>1085</v>
      </c>
      <c r="C345" s="1407">
        <v>2055</v>
      </c>
      <c r="D345" s="1406">
        <v>1092000</v>
      </c>
      <c r="E345" s="1408">
        <v>1092000</v>
      </c>
      <c r="F345" s="1409">
        <v>3971</v>
      </c>
      <c r="G345" s="1406">
        <v>5.7390999999999996</v>
      </c>
      <c r="H345" s="1408">
        <v>0.18462200000000001</v>
      </c>
      <c r="I345" s="1408">
        <v>8.61E-4</v>
      </c>
      <c r="J345" s="1409">
        <v>11.5648</v>
      </c>
    </row>
    <row r="346" spans="2:10" x14ac:dyDescent="0.25">
      <c r="B346" s="1410" t="s">
        <v>283</v>
      </c>
      <c r="C346" s="1411">
        <v>2055</v>
      </c>
      <c r="D346" s="1410">
        <v>1092000</v>
      </c>
      <c r="E346" s="1412">
        <v>1092000</v>
      </c>
      <c r="F346" s="1413">
        <v>3971</v>
      </c>
      <c r="G346" s="1410">
        <v>5.7390999999999996</v>
      </c>
      <c r="H346" s="1412">
        <v>0.18462200000000001</v>
      </c>
      <c r="I346" s="1412">
        <v>8.61E-4</v>
      </c>
      <c r="J346" s="1413">
        <v>11.5648</v>
      </c>
    </row>
    <row r="347" spans="2:10" x14ac:dyDescent="0.25">
      <c r="B347" s="1410" t="s">
        <v>1086</v>
      </c>
      <c r="C347" s="1411">
        <v>2055</v>
      </c>
      <c r="D347" s="1410">
        <v>1092000</v>
      </c>
      <c r="E347" s="1412">
        <v>1092000</v>
      </c>
      <c r="F347" s="1413">
        <v>3971</v>
      </c>
      <c r="G347" s="1410">
        <v>5.7390999999999996</v>
      </c>
      <c r="H347" s="1412">
        <v>0.18462200000000001</v>
      </c>
      <c r="I347" s="1412">
        <v>8.61E-4</v>
      </c>
      <c r="J347" s="1413">
        <v>11.5648</v>
      </c>
    </row>
    <row r="348" spans="2:10" x14ac:dyDescent="0.25">
      <c r="B348" s="1410" t="s">
        <v>681</v>
      </c>
      <c r="C348" s="1411">
        <v>2055</v>
      </c>
      <c r="D348" s="1410">
        <v>1092000</v>
      </c>
      <c r="E348" s="1412">
        <v>1092000</v>
      </c>
      <c r="F348" s="1413">
        <v>3971</v>
      </c>
      <c r="G348" s="1410">
        <v>5.7390999999999996</v>
      </c>
      <c r="H348" s="1412">
        <v>0.18462200000000001</v>
      </c>
      <c r="I348" s="1412">
        <v>8.61E-4</v>
      </c>
      <c r="J348" s="1413">
        <v>11.5648</v>
      </c>
    </row>
    <row r="349" spans="2:10" x14ac:dyDescent="0.25">
      <c r="B349" s="1410" t="s">
        <v>682</v>
      </c>
      <c r="C349" s="1411">
        <v>2055</v>
      </c>
      <c r="D349" s="1410">
        <v>-1185000</v>
      </c>
      <c r="E349" s="1412">
        <v>0</v>
      </c>
      <c r="F349" s="1413">
        <v>0</v>
      </c>
      <c r="G349" s="1410">
        <v>-85.800000000000011</v>
      </c>
      <c r="H349" s="1412">
        <v>0.54700000000000004</v>
      </c>
      <c r="I349" s="1412">
        <v>-1.8286999999999999E-3</v>
      </c>
      <c r="J349" s="1413">
        <v>-70.08</v>
      </c>
    </row>
    <row r="350" spans="2:10" x14ac:dyDescent="0.25">
      <c r="B350" s="1410" t="s">
        <v>683</v>
      </c>
      <c r="C350" s="1411">
        <v>2055</v>
      </c>
      <c r="D350" s="1410">
        <v>1721000</v>
      </c>
      <c r="E350" s="1412">
        <v>1293000</v>
      </c>
      <c r="F350" s="1413">
        <v>15050</v>
      </c>
      <c r="G350" s="1410">
        <v>125.08</v>
      </c>
      <c r="H350" s="1412">
        <v>0.20477100000000001</v>
      </c>
      <c r="I350" s="1412">
        <v>1.7827000000000001E-3</v>
      </c>
      <c r="J350" s="1413">
        <v>129.82</v>
      </c>
    </row>
    <row r="351" spans="2:10" x14ac:dyDescent="0.25">
      <c r="B351" s="1410" t="s">
        <v>698</v>
      </c>
      <c r="C351" s="1411">
        <v>2055</v>
      </c>
      <c r="D351" s="1410">
        <v>1721000</v>
      </c>
      <c r="E351" s="1412">
        <v>1293000</v>
      </c>
      <c r="F351" s="1413">
        <v>15050</v>
      </c>
      <c r="G351" s="1410">
        <v>125.08</v>
      </c>
      <c r="H351" s="1412">
        <v>0.20477100000000001</v>
      </c>
      <c r="I351" s="1412">
        <v>1.7827000000000001E-3</v>
      </c>
      <c r="J351" s="1413">
        <v>129.82</v>
      </c>
    </row>
    <row r="352" spans="2:10" x14ac:dyDescent="0.25">
      <c r="B352" s="1410" t="s">
        <v>684</v>
      </c>
      <c r="C352" s="1411">
        <v>2055</v>
      </c>
      <c r="D352" s="1410">
        <v>1721000</v>
      </c>
      <c r="E352" s="1412">
        <v>1293000</v>
      </c>
      <c r="F352" s="1413">
        <v>15050</v>
      </c>
      <c r="G352" s="1410">
        <v>125.08</v>
      </c>
      <c r="H352" s="1412">
        <v>0.20477100000000001</v>
      </c>
      <c r="I352" s="1412">
        <v>1.7827000000000001E-3</v>
      </c>
      <c r="J352" s="1413">
        <v>129.82</v>
      </c>
    </row>
    <row r="353" spans="2:10" x14ac:dyDescent="0.25">
      <c r="B353" s="1410" t="s">
        <v>1087</v>
      </c>
      <c r="C353" s="1411">
        <v>2055</v>
      </c>
      <c r="D353" s="1410">
        <v>1022000</v>
      </c>
      <c r="E353" s="1412">
        <v>1021000</v>
      </c>
      <c r="F353" s="1413">
        <v>15510</v>
      </c>
      <c r="G353" s="1410">
        <v>1.6964999999999999</v>
      </c>
      <c r="H353" s="1412">
        <v>0.14096238999999999</v>
      </c>
      <c r="I353" s="1412">
        <v>3.2765999999999998E-5</v>
      </c>
      <c r="J353" s="1413">
        <v>5.9536999999999995</v>
      </c>
    </row>
    <row r="354" spans="2:10" x14ac:dyDescent="0.25">
      <c r="B354" s="1410" t="s">
        <v>716</v>
      </c>
      <c r="C354" s="1411">
        <v>2055</v>
      </c>
      <c r="D354" s="1410">
        <v>1022000</v>
      </c>
      <c r="E354" s="1412">
        <v>1021000</v>
      </c>
      <c r="F354" s="1413">
        <v>15510</v>
      </c>
      <c r="G354" s="1410">
        <v>1.6964999999999999</v>
      </c>
      <c r="H354" s="1412">
        <v>0.14096238999999999</v>
      </c>
      <c r="I354" s="1412">
        <v>3.2765999999999998E-5</v>
      </c>
      <c r="J354" s="1413">
        <v>5.9536999999999995</v>
      </c>
    </row>
    <row r="355" spans="2:10" x14ac:dyDescent="0.25">
      <c r="B355" s="1410" t="s">
        <v>717</v>
      </c>
      <c r="C355" s="1411">
        <v>2055</v>
      </c>
      <c r="D355" s="1410">
        <v>1022000</v>
      </c>
      <c r="E355" s="1412">
        <v>1021000</v>
      </c>
      <c r="F355" s="1413">
        <v>15510</v>
      </c>
      <c r="G355" s="1410">
        <v>1.6964999999999999</v>
      </c>
      <c r="H355" s="1412">
        <v>0.14096238999999999</v>
      </c>
      <c r="I355" s="1412">
        <v>3.2765999999999998E-5</v>
      </c>
      <c r="J355" s="1413">
        <v>5.9536999999999995</v>
      </c>
    </row>
    <row r="356" spans="2:10" x14ac:dyDescent="0.25">
      <c r="B356" s="1410" t="s">
        <v>912</v>
      </c>
      <c r="C356" s="1411">
        <v>2055</v>
      </c>
      <c r="D356" s="1410">
        <v>1209000</v>
      </c>
      <c r="E356" s="1412">
        <v>1202000</v>
      </c>
      <c r="F356" s="1413">
        <v>1052000</v>
      </c>
      <c r="G356" s="1410">
        <v>17.969000000000001</v>
      </c>
      <c r="H356" s="1412">
        <v>0.164128</v>
      </c>
      <c r="I356" s="1412">
        <v>2.9025999999999998E-4</v>
      </c>
      <c r="J356" s="1413">
        <v>22.988</v>
      </c>
    </row>
    <row r="357" spans="2:10" x14ac:dyDescent="0.25">
      <c r="B357" s="1410" t="s">
        <v>910</v>
      </c>
      <c r="C357" s="1411">
        <v>2055</v>
      </c>
      <c r="D357" s="1410">
        <v>1585000</v>
      </c>
      <c r="E357" s="1412">
        <v>696300</v>
      </c>
      <c r="F357" s="1413">
        <v>286000</v>
      </c>
      <c r="G357" s="1410">
        <v>38.049999999999997</v>
      </c>
      <c r="H357" s="1412">
        <v>0.1118</v>
      </c>
      <c r="I357" s="1412">
        <v>2.5350000000000001E-2</v>
      </c>
      <c r="J357" s="1413">
        <v>45.19</v>
      </c>
    </row>
    <row r="358" spans="2:10" x14ac:dyDescent="0.25">
      <c r="B358" s="1410" t="s">
        <v>913</v>
      </c>
      <c r="C358" s="1411">
        <v>2055</v>
      </c>
      <c r="D358" s="1410">
        <v>1249000</v>
      </c>
      <c r="E358" s="1412">
        <v>1242000</v>
      </c>
      <c r="F358" s="1413">
        <v>1078000</v>
      </c>
      <c r="G358" s="1410">
        <v>23.84</v>
      </c>
      <c r="H358" s="1412">
        <v>0.16985799999999998</v>
      </c>
      <c r="I358" s="1412">
        <v>3.7813000000000001E-4</v>
      </c>
      <c r="J358" s="1413">
        <v>29.157000000000004</v>
      </c>
    </row>
    <row r="359" spans="2:10" x14ac:dyDescent="0.25">
      <c r="B359" s="1410" t="s">
        <v>1081</v>
      </c>
      <c r="C359" s="1411">
        <v>2055</v>
      </c>
      <c r="D359" s="1410">
        <v>1190000</v>
      </c>
      <c r="E359" s="1412">
        <v>51590</v>
      </c>
      <c r="F359" s="1413">
        <v>29220</v>
      </c>
      <c r="G359" s="1410">
        <v>3.7582</v>
      </c>
      <c r="H359" s="1412">
        <v>8.4366999999999984E-3</v>
      </c>
      <c r="I359" s="1412">
        <v>-3.8261190000000002E-3</v>
      </c>
      <c r="J359" s="1413">
        <v>3.0054000000000003</v>
      </c>
    </row>
    <row r="360" spans="2:10" x14ac:dyDescent="0.25">
      <c r="B360" s="1410" t="s">
        <v>815</v>
      </c>
      <c r="C360" s="1411">
        <v>2055</v>
      </c>
      <c r="D360" s="1410">
        <v>1190000</v>
      </c>
      <c r="E360" s="1412">
        <v>51590</v>
      </c>
      <c r="F360" s="1413">
        <v>29220</v>
      </c>
      <c r="G360" s="1410">
        <v>3.7582</v>
      </c>
      <c r="H360" s="1412">
        <v>8.4366999999999984E-3</v>
      </c>
      <c r="I360" s="1412">
        <v>-3.8261190000000002E-3</v>
      </c>
      <c r="J360" s="1413">
        <v>3.0054000000000003</v>
      </c>
    </row>
    <row r="361" spans="2:10" x14ac:dyDescent="0.25">
      <c r="B361" s="1410" t="s">
        <v>824</v>
      </c>
      <c r="C361" s="1411">
        <v>2055</v>
      </c>
      <c r="D361" s="1410">
        <v>1190000</v>
      </c>
      <c r="E361" s="1412">
        <v>51590</v>
      </c>
      <c r="F361" s="1413">
        <v>29220</v>
      </c>
      <c r="G361" s="1410">
        <v>3.7582</v>
      </c>
      <c r="H361" s="1412">
        <v>8.4366999999999984E-3</v>
      </c>
      <c r="I361" s="1412">
        <v>-3.8261190000000002E-3</v>
      </c>
      <c r="J361" s="1413">
        <v>3.0054000000000003</v>
      </c>
    </row>
    <row r="362" spans="2:10" ht="13" thickBot="1" x14ac:dyDescent="0.3">
      <c r="B362" s="1414" t="s">
        <v>1088</v>
      </c>
      <c r="C362" s="1415">
        <v>2055</v>
      </c>
      <c r="D362" s="1414">
        <v>1384000</v>
      </c>
      <c r="E362" s="1416">
        <v>1383000</v>
      </c>
      <c r="F362" s="1417">
        <v>5034</v>
      </c>
      <c r="G362" s="1414">
        <v>78.571100000000001</v>
      </c>
      <c r="H362" s="1416">
        <v>0.27494000000000002</v>
      </c>
      <c r="I362" s="1416">
        <v>2.3304000000000003E-3</v>
      </c>
      <c r="J362" s="1417">
        <v>87.594300000000004</v>
      </c>
    </row>
    <row r="363" spans="2:10" x14ac:dyDescent="0.25">
      <c r="B363" s="1406" t="s">
        <v>1085</v>
      </c>
      <c r="C363" s="1407">
        <v>2060</v>
      </c>
      <c r="D363" s="1406">
        <v>1092000</v>
      </c>
      <c r="E363" s="1408">
        <v>1092000</v>
      </c>
      <c r="F363" s="1409">
        <v>3971</v>
      </c>
      <c r="G363" s="1406">
        <v>5.7390999999999996</v>
      </c>
      <c r="H363" s="1408">
        <v>0.18462200000000001</v>
      </c>
      <c r="I363" s="1408">
        <v>8.61E-4</v>
      </c>
      <c r="J363" s="1409">
        <v>11.5648</v>
      </c>
    </row>
    <row r="364" spans="2:10" x14ac:dyDescent="0.25">
      <c r="B364" s="1410" t="s">
        <v>283</v>
      </c>
      <c r="C364" s="1411">
        <v>2060</v>
      </c>
      <c r="D364" s="1410">
        <v>1092000</v>
      </c>
      <c r="E364" s="1412">
        <v>1092000</v>
      </c>
      <c r="F364" s="1413">
        <v>3971</v>
      </c>
      <c r="G364" s="1410">
        <v>5.7390999999999996</v>
      </c>
      <c r="H364" s="1412">
        <v>0.18462200000000001</v>
      </c>
      <c r="I364" s="1412">
        <v>8.61E-4</v>
      </c>
      <c r="J364" s="1413">
        <v>11.5648</v>
      </c>
    </row>
    <row r="365" spans="2:10" x14ac:dyDescent="0.25">
      <c r="B365" s="1410" t="s">
        <v>1086</v>
      </c>
      <c r="C365" s="1411">
        <v>2060</v>
      </c>
      <c r="D365" s="1410">
        <v>1092000</v>
      </c>
      <c r="E365" s="1412">
        <v>1092000</v>
      </c>
      <c r="F365" s="1413">
        <v>3971</v>
      </c>
      <c r="G365" s="1410">
        <v>5.7390999999999996</v>
      </c>
      <c r="H365" s="1412">
        <v>0.18462200000000001</v>
      </c>
      <c r="I365" s="1412">
        <v>8.61E-4</v>
      </c>
      <c r="J365" s="1413">
        <v>11.5648</v>
      </c>
    </row>
    <row r="366" spans="2:10" x14ac:dyDescent="0.25">
      <c r="B366" s="1410" t="s">
        <v>681</v>
      </c>
      <c r="C366" s="1411">
        <v>2060</v>
      </c>
      <c r="D366" s="1410">
        <v>1092000</v>
      </c>
      <c r="E366" s="1412">
        <v>1092000</v>
      </c>
      <c r="F366" s="1413">
        <v>3971</v>
      </c>
      <c r="G366" s="1410">
        <v>5.7390999999999996</v>
      </c>
      <c r="H366" s="1412">
        <v>0.18462200000000001</v>
      </c>
      <c r="I366" s="1412">
        <v>8.61E-4</v>
      </c>
      <c r="J366" s="1413">
        <v>11.5648</v>
      </c>
    </row>
    <row r="367" spans="2:10" x14ac:dyDescent="0.25">
      <c r="B367" s="1410" t="s">
        <v>682</v>
      </c>
      <c r="C367" s="1411">
        <v>2060</v>
      </c>
      <c r="D367" s="1410">
        <v>-1185000</v>
      </c>
      <c r="E367" s="1412">
        <v>0</v>
      </c>
      <c r="F367" s="1413">
        <v>0</v>
      </c>
      <c r="G367" s="1410">
        <v>-85.800000000000011</v>
      </c>
      <c r="H367" s="1412">
        <v>0.54700000000000004</v>
      </c>
      <c r="I367" s="1412">
        <v>-1.8286999999999999E-3</v>
      </c>
      <c r="J367" s="1413">
        <v>-70.08</v>
      </c>
    </row>
    <row r="368" spans="2:10" x14ac:dyDescent="0.25">
      <c r="B368" s="1410" t="s">
        <v>683</v>
      </c>
      <c r="C368" s="1411">
        <v>2060</v>
      </c>
      <c r="D368" s="1410">
        <v>1721000</v>
      </c>
      <c r="E368" s="1412">
        <v>1293000</v>
      </c>
      <c r="F368" s="1413">
        <v>15050</v>
      </c>
      <c r="G368" s="1410">
        <v>125.08</v>
      </c>
      <c r="H368" s="1412">
        <v>0.20477100000000001</v>
      </c>
      <c r="I368" s="1412">
        <v>1.7827000000000001E-3</v>
      </c>
      <c r="J368" s="1413">
        <v>129.82</v>
      </c>
    </row>
    <row r="369" spans="2:10" x14ac:dyDescent="0.25">
      <c r="B369" s="1410" t="s">
        <v>698</v>
      </c>
      <c r="C369" s="1411">
        <v>2060</v>
      </c>
      <c r="D369" s="1410">
        <v>1721000</v>
      </c>
      <c r="E369" s="1412">
        <v>1293000</v>
      </c>
      <c r="F369" s="1413">
        <v>15050</v>
      </c>
      <c r="G369" s="1410">
        <v>125.08</v>
      </c>
      <c r="H369" s="1412">
        <v>0.20477100000000001</v>
      </c>
      <c r="I369" s="1412">
        <v>1.7827000000000001E-3</v>
      </c>
      <c r="J369" s="1413">
        <v>129.82</v>
      </c>
    </row>
    <row r="370" spans="2:10" x14ac:dyDescent="0.25">
      <c r="B370" s="1410" t="s">
        <v>684</v>
      </c>
      <c r="C370" s="1411">
        <v>2060</v>
      </c>
      <c r="D370" s="1410">
        <v>1721000</v>
      </c>
      <c r="E370" s="1412">
        <v>1293000</v>
      </c>
      <c r="F370" s="1413">
        <v>15050</v>
      </c>
      <c r="G370" s="1410">
        <v>125.08</v>
      </c>
      <c r="H370" s="1412">
        <v>0.20477100000000001</v>
      </c>
      <c r="I370" s="1412">
        <v>1.7827000000000001E-3</v>
      </c>
      <c r="J370" s="1413">
        <v>129.82</v>
      </c>
    </row>
    <row r="371" spans="2:10" x14ac:dyDescent="0.25">
      <c r="B371" s="1410" t="s">
        <v>1087</v>
      </c>
      <c r="C371" s="1411">
        <v>2060</v>
      </c>
      <c r="D371" s="1410">
        <v>1022000</v>
      </c>
      <c r="E371" s="1412">
        <v>1021000</v>
      </c>
      <c r="F371" s="1413">
        <v>15510</v>
      </c>
      <c r="G371" s="1410">
        <v>1.6964999999999999</v>
      </c>
      <c r="H371" s="1412">
        <v>0.14096238999999999</v>
      </c>
      <c r="I371" s="1412">
        <v>3.2765999999999998E-5</v>
      </c>
      <c r="J371" s="1413">
        <v>5.9536999999999995</v>
      </c>
    </row>
    <row r="372" spans="2:10" x14ac:dyDescent="0.25">
      <c r="B372" s="1410" t="s">
        <v>716</v>
      </c>
      <c r="C372" s="1411">
        <v>2060</v>
      </c>
      <c r="D372" s="1410">
        <v>1022000</v>
      </c>
      <c r="E372" s="1412">
        <v>1021000</v>
      </c>
      <c r="F372" s="1413">
        <v>15510</v>
      </c>
      <c r="G372" s="1410">
        <v>1.6964999999999999</v>
      </c>
      <c r="H372" s="1412">
        <v>0.14096238999999999</v>
      </c>
      <c r="I372" s="1412">
        <v>3.2765999999999998E-5</v>
      </c>
      <c r="J372" s="1413">
        <v>5.9536999999999995</v>
      </c>
    </row>
    <row r="373" spans="2:10" x14ac:dyDescent="0.25">
      <c r="B373" s="1410" t="s">
        <v>717</v>
      </c>
      <c r="C373" s="1411">
        <v>2060</v>
      </c>
      <c r="D373" s="1410">
        <v>1022000</v>
      </c>
      <c r="E373" s="1412">
        <v>1021000</v>
      </c>
      <c r="F373" s="1413">
        <v>15510</v>
      </c>
      <c r="G373" s="1410">
        <v>1.6964999999999999</v>
      </c>
      <c r="H373" s="1412">
        <v>0.14096238999999999</v>
      </c>
      <c r="I373" s="1412">
        <v>3.2765999999999998E-5</v>
      </c>
      <c r="J373" s="1413">
        <v>5.9536999999999995</v>
      </c>
    </row>
    <row r="374" spans="2:10" x14ac:dyDescent="0.25">
      <c r="B374" s="1410" t="s">
        <v>912</v>
      </c>
      <c r="C374" s="1411">
        <v>2060</v>
      </c>
      <c r="D374" s="1410">
        <v>1209000</v>
      </c>
      <c r="E374" s="1412">
        <v>1202000</v>
      </c>
      <c r="F374" s="1413">
        <v>1052000</v>
      </c>
      <c r="G374" s="1410">
        <v>17.969000000000001</v>
      </c>
      <c r="H374" s="1412">
        <v>0.164128</v>
      </c>
      <c r="I374" s="1412">
        <v>2.9025999999999998E-4</v>
      </c>
      <c r="J374" s="1413">
        <v>22.988</v>
      </c>
    </row>
    <row r="375" spans="2:10" x14ac:dyDescent="0.25">
      <c r="B375" s="1410" t="s">
        <v>910</v>
      </c>
      <c r="C375" s="1411">
        <v>2060</v>
      </c>
      <c r="D375" s="1410">
        <v>1585000</v>
      </c>
      <c r="E375" s="1412">
        <v>696300</v>
      </c>
      <c r="F375" s="1413">
        <v>286000</v>
      </c>
      <c r="G375" s="1410">
        <v>38.049999999999997</v>
      </c>
      <c r="H375" s="1412">
        <v>0.1118</v>
      </c>
      <c r="I375" s="1412">
        <v>2.5350000000000001E-2</v>
      </c>
      <c r="J375" s="1413">
        <v>45.19</v>
      </c>
    </row>
    <row r="376" spans="2:10" x14ac:dyDescent="0.25">
      <c r="B376" s="1410" t="s">
        <v>913</v>
      </c>
      <c r="C376" s="1411">
        <v>2060</v>
      </c>
      <c r="D376" s="1410">
        <v>1249000</v>
      </c>
      <c r="E376" s="1412">
        <v>1242000</v>
      </c>
      <c r="F376" s="1413">
        <v>1078000</v>
      </c>
      <c r="G376" s="1410">
        <v>23.84</v>
      </c>
      <c r="H376" s="1412">
        <v>0.16985799999999998</v>
      </c>
      <c r="I376" s="1412">
        <v>3.7813000000000001E-4</v>
      </c>
      <c r="J376" s="1413">
        <v>29.157000000000004</v>
      </c>
    </row>
    <row r="377" spans="2:10" x14ac:dyDescent="0.25">
      <c r="B377" s="1410" t="s">
        <v>1081</v>
      </c>
      <c r="C377" s="1411">
        <v>2060</v>
      </c>
      <c r="D377" s="1410">
        <v>1190000</v>
      </c>
      <c r="E377" s="1412">
        <v>51590</v>
      </c>
      <c r="F377" s="1413">
        <v>29220</v>
      </c>
      <c r="G377" s="1410">
        <v>3.7582</v>
      </c>
      <c r="H377" s="1412">
        <v>8.4366999999999984E-3</v>
      </c>
      <c r="I377" s="1412">
        <v>-3.8261190000000002E-3</v>
      </c>
      <c r="J377" s="1413">
        <v>3.0054000000000003</v>
      </c>
    </row>
    <row r="378" spans="2:10" x14ac:dyDescent="0.25">
      <c r="B378" s="1410" t="s">
        <v>815</v>
      </c>
      <c r="C378" s="1411">
        <v>2060</v>
      </c>
      <c r="D378" s="1410">
        <v>1190000</v>
      </c>
      <c r="E378" s="1412">
        <v>51590</v>
      </c>
      <c r="F378" s="1413">
        <v>29220</v>
      </c>
      <c r="G378" s="1410">
        <v>3.7582</v>
      </c>
      <c r="H378" s="1412">
        <v>8.4366999999999984E-3</v>
      </c>
      <c r="I378" s="1412">
        <v>-3.8261190000000002E-3</v>
      </c>
      <c r="J378" s="1413">
        <v>3.0054000000000003</v>
      </c>
    </row>
    <row r="379" spans="2:10" x14ac:dyDescent="0.25">
      <c r="B379" s="1410" t="s">
        <v>824</v>
      </c>
      <c r="C379" s="1411">
        <v>2060</v>
      </c>
      <c r="D379" s="1410">
        <v>1190000</v>
      </c>
      <c r="E379" s="1412">
        <v>51590</v>
      </c>
      <c r="F379" s="1413">
        <v>29220</v>
      </c>
      <c r="G379" s="1410">
        <v>3.7582</v>
      </c>
      <c r="H379" s="1412">
        <v>8.4366999999999984E-3</v>
      </c>
      <c r="I379" s="1412">
        <v>-3.8261190000000002E-3</v>
      </c>
      <c r="J379" s="1413">
        <v>3.0054000000000003</v>
      </c>
    </row>
    <row r="380" spans="2:10" ht="13" thickBot="1" x14ac:dyDescent="0.3">
      <c r="B380" s="1414" t="s">
        <v>1088</v>
      </c>
      <c r="C380" s="1415">
        <v>2060</v>
      </c>
      <c r="D380" s="1414">
        <v>1384000</v>
      </c>
      <c r="E380" s="1416">
        <v>1383000</v>
      </c>
      <c r="F380" s="1417">
        <v>5034</v>
      </c>
      <c r="G380" s="1414">
        <v>78.571100000000001</v>
      </c>
      <c r="H380" s="1416">
        <v>0.27494000000000002</v>
      </c>
      <c r="I380" s="1416">
        <v>2.3304000000000003E-3</v>
      </c>
      <c r="J380" s="1417">
        <v>87.594300000000004</v>
      </c>
    </row>
    <row r="381" spans="2:10" x14ac:dyDescent="0.25">
      <c r="B381" s="1406" t="s">
        <v>1085</v>
      </c>
      <c r="C381" s="1407">
        <v>2065</v>
      </c>
      <c r="D381" s="1406">
        <v>1092000</v>
      </c>
      <c r="E381" s="1408">
        <v>1092000</v>
      </c>
      <c r="F381" s="1409">
        <v>3971</v>
      </c>
      <c r="G381" s="1406">
        <v>5.7390999999999996</v>
      </c>
      <c r="H381" s="1408">
        <v>0.18462200000000001</v>
      </c>
      <c r="I381" s="1408">
        <v>8.61E-4</v>
      </c>
      <c r="J381" s="1409">
        <v>11.5648</v>
      </c>
    </row>
    <row r="382" spans="2:10" x14ac:dyDescent="0.25">
      <c r="B382" s="1410" t="s">
        <v>283</v>
      </c>
      <c r="C382" s="1411">
        <v>2065</v>
      </c>
      <c r="D382" s="1410">
        <v>1092000</v>
      </c>
      <c r="E382" s="1412">
        <v>1092000</v>
      </c>
      <c r="F382" s="1413">
        <v>3971</v>
      </c>
      <c r="G382" s="1410">
        <v>5.7390999999999996</v>
      </c>
      <c r="H382" s="1412">
        <v>0.18462200000000001</v>
      </c>
      <c r="I382" s="1412">
        <v>8.61E-4</v>
      </c>
      <c r="J382" s="1413">
        <v>11.5648</v>
      </c>
    </row>
    <row r="383" spans="2:10" x14ac:dyDescent="0.25">
      <c r="B383" s="1410" t="s">
        <v>1086</v>
      </c>
      <c r="C383" s="1411">
        <v>2065</v>
      </c>
      <c r="D383" s="1410">
        <v>1092000</v>
      </c>
      <c r="E383" s="1412">
        <v>1092000</v>
      </c>
      <c r="F383" s="1413">
        <v>3971</v>
      </c>
      <c r="G383" s="1410">
        <v>5.7390999999999996</v>
      </c>
      <c r="H383" s="1412">
        <v>0.18462200000000001</v>
      </c>
      <c r="I383" s="1412">
        <v>8.61E-4</v>
      </c>
      <c r="J383" s="1413">
        <v>11.5648</v>
      </c>
    </row>
    <row r="384" spans="2:10" x14ac:dyDescent="0.25">
      <c r="B384" s="1410" t="s">
        <v>681</v>
      </c>
      <c r="C384" s="1411">
        <v>2065</v>
      </c>
      <c r="D384" s="1410">
        <v>1092000</v>
      </c>
      <c r="E384" s="1412">
        <v>1092000</v>
      </c>
      <c r="F384" s="1413">
        <v>3971</v>
      </c>
      <c r="G384" s="1410">
        <v>5.7390999999999996</v>
      </c>
      <c r="H384" s="1412">
        <v>0.18462200000000001</v>
      </c>
      <c r="I384" s="1412">
        <v>8.61E-4</v>
      </c>
      <c r="J384" s="1413">
        <v>11.5648</v>
      </c>
    </row>
    <row r="385" spans="2:10" x14ac:dyDescent="0.25">
      <c r="B385" s="1410" t="s">
        <v>682</v>
      </c>
      <c r="C385" s="1411">
        <v>2065</v>
      </c>
      <c r="D385" s="1410">
        <v>-1185000</v>
      </c>
      <c r="E385" s="1412">
        <v>0</v>
      </c>
      <c r="F385" s="1413">
        <v>0</v>
      </c>
      <c r="G385" s="1410">
        <v>-85.800000000000011</v>
      </c>
      <c r="H385" s="1412">
        <v>0.54700000000000004</v>
      </c>
      <c r="I385" s="1412">
        <v>-1.8286999999999999E-3</v>
      </c>
      <c r="J385" s="1413">
        <v>-70.08</v>
      </c>
    </row>
    <row r="386" spans="2:10" x14ac:dyDescent="0.25">
      <c r="B386" s="1410" t="s">
        <v>683</v>
      </c>
      <c r="C386" s="1411">
        <v>2065</v>
      </c>
      <c r="D386" s="1410">
        <v>1721000</v>
      </c>
      <c r="E386" s="1412">
        <v>1293000</v>
      </c>
      <c r="F386" s="1413">
        <v>15050</v>
      </c>
      <c r="G386" s="1410">
        <v>125.08</v>
      </c>
      <c r="H386" s="1412">
        <v>0.20477100000000001</v>
      </c>
      <c r="I386" s="1412">
        <v>1.7827000000000001E-3</v>
      </c>
      <c r="J386" s="1413">
        <v>129.82</v>
      </c>
    </row>
    <row r="387" spans="2:10" x14ac:dyDescent="0.25">
      <c r="B387" s="1410" t="s">
        <v>698</v>
      </c>
      <c r="C387" s="1411">
        <v>2065</v>
      </c>
      <c r="D387" s="1410">
        <v>1721000</v>
      </c>
      <c r="E387" s="1412">
        <v>1293000</v>
      </c>
      <c r="F387" s="1413">
        <v>15050</v>
      </c>
      <c r="G387" s="1410">
        <v>125.08</v>
      </c>
      <c r="H387" s="1412">
        <v>0.20477100000000001</v>
      </c>
      <c r="I387" s="1412">
        <v>1.7827000000000001E-3</v>
      </c>
      <c r="J387" s="1413">
        <v>129.82</v>
      </c>
    </row>
    <row r="388" spans="2:10" x14ac:dyDescent="0.25">
      <c r="B388" s="1410" t="s">
        <v>684</v>
      </c>
      <c r="C388" s="1411">
        <v>2065</v>
      </c>
      <c r="D388" s="1410">
        <v>1721000</v>
      </c>
      <c r="E388" s="1412">
        <v>1293000</v>
      </c>
      <c r="F388" s="1413">
        <v>15050</v>
      </c>
      <c r="G388" s="1410">
        <v>125.08</v>
      </c>
      <c r="H388" s="1412">
        <v>0.20477100000000001</v>
      </c>
      <c r="I388" s="1412">
        <v>1.7827000000000001E-3</v>
      </c>
      <c r="J388" s="1413">
        <v>129.82</v>
      </c>
    </row>
    <row r="389" spans="2:10" x14ac:dyDescent="0.25">
      <c r="B389" s="1410" t="s">
        <v>1087</v>
      </c>
      <c r="C389" s="1411">
        <v>2065</v>
      </c>
      <c r="D389" s="1410">
        <v>1022000</v>
      </c>
      <c r="E389" s="1412">
        <v>1021000</v>
      </c>
      <c r="F389" s="1413">
        <v>15510</v>
      </c>
      <c r="G389" s="1410">
        <v>1.6964999999999999</v>
      </c>
      <c r="H389" s="1412">
        <v>0.14096238999999999</v>
      </c>
      <c r="I389" s="1412">
        <v>3.2765999999999998E-5</v>
      </c>
      <c r="J389" s="1413">
        <v>5.9536999999999995</v>
      </c>
    </row>
    <row r="390" spans="2:10" x14ac:dyDescent="0.25">
      <c r="B390" s="1410" t="s">
        <v>716</v>
      </c>
      <c r="C390" s="1411">
        <v>2065</v>
      </c>
      <c r="D390" s="1410">
        <v>1022000</v>
      </c>
      <c r="E390" s="1412">
        <v>1021000</v>
      </c>
      <c r="F390" s="1413">
        <v>15510</v>
      </c>
      <c r="G390" s="1410">
        <v>1.6964999999999999</v>
      </c>
      <c r="H390" s="1412">
        <v>0.14096238999999999</v>
      </c>
      <c r="I390" s="1412">
        <v>3.2765999999999998E-5</v>
      </c>
      <c r="J390" s="1413">
        <v>5.9536999999999995</v>
      </c>
    </row>
    <row r="391" spans="2:10" x14ac:dyDescent="0.25">
      <c r="B391" s="1410" t="s">
        <v>717</v>
      </c>
      <c r="C391" s="1411">
        <v>2065</v>
      </c>
      <c r="D391" s="1410">
        <v>1022000</v>
      </c>
      <c r="E391" s="1412">
        <v>1021000</v>
      </c>
      <c r="F391" s="1413">
        <v>15510</v>
      </c>
      <c r="G391" s="1410">
        <v>1.6964999999999999</v>
      </c>
      <c r="H391" s="1412">
        <v>0.14096238999999999</v>
      </c>
      <c r="I391" s="1412">
        <v>3.2765999999999998E-5</v>
      </c>
      <c r="J391" s="1413">
        <v>5.9536999999999995</v>
      </c>
    </row>
    <row r="392" spans="2:10" x14ac:dyDescent="0.25">
      <c r="B392" s="1410" t="s">
        <v>912</v>
      </c>
      <c r="C392" s="1411">
        <v>2065</v>
      </c>
      <c r="D392" s="1410">
        <v>1209000</v>
      </c>
      <c r="E392" s="1412">
        <v>1202000</v>
      </c>
      <c r="F392" s="1413">
        <v>1052000</v>
      </c>
      <c r="G392" s="1410">
        <v>17.969000000000001</v>
      </c>
      <c r="H392" s="1412">
        <v>0.164128</v>
      </c>
      <c r="I392" s="1412">
        <v>2.9025999999999998E-4</v>
      </c>
      <c r="J392" s="1413">
        <v>22.988</v>
      </c>
    </row>
    <row r="393" spans="2:10" x14ac:dyDescent="0.25">
      <c r="B393" s="1410" t="s">
        <v>910</v>
      </c>
      <c r="C393" s="1411">
        <v>2065</v>
      </c>
      <c r="D393" s="1410">
        <v>1585000</v>
      </c>
      <c r="E393" s="1412">
        <v>696300</v>
      </c>
      <c r="F393" s="1413">
        <v>286000</v>
      </c>
      <c r="G393" s="1410">
        <v>38.049999999999997</v>
      </c>
      <c r="H393" s="1412">
        <v>0.1118</v>
      </c>
      <c r="I393" s="1412">
        <v>2.5350000000000001E-2</v>
      </c>
      <c r="J393" s="1413">
        <v>45.19</v>
      </c>
    </row>
    <row r="394" spans="2:10" x14ac:dyDescent="0.25">
      <c r="B394" s="1410" t="s">
        <v>913</v>
      </c>
      <c r="C394" s="1411">
        <v>2065</v>
      </c>
      <c r="D394" s="1410">
        <v>1249000</v>
      </c>
      <c r="E394" s="1412">
        <v>1242000</v>
      </c>
      <c r="F394" s="1413">
        <v>1078000</v>
      </c>
      <c r="G394" s="1410">
        <v>23.84</v>
      </c>
      <c r="H394" s="1412">
        <v>0.16985799999999998</v>
      </c>
      <c r="I394" s="1412">
        <v>3.7813000000000001E-4</v>
      </c>
      <c r="J394" s="1413">
        <v>29.157000000000004</v>
      </c>
    </row>
    <row r="395" spans="2:10" x14ac:dyDescent="0.25">
      <c r="B395" s="1410" t="s">
        <v>1081</v>
      </c>
      <c r="C395" s="1411">
        <v>2065</v>
      </c>
      <c r="D395" s="1410">
        <v>1190000</v>
      </c>
      <c r="E395" s="1412">
        <v>51590</v>
      </c>
      <c r="F395" s="1413">
        <v>29220</v>
      </c>
      <c r="G395" s="1410">
        <v>3.7582</v>
      </c>
      <c r="H395" s="1412">
        <v>8.4366999999999984E-3</v>
      </c>
      <c r="I395" s="1412">
        <v>-3.8261190000000002E-3</v>
      </c>
      <c r="J395" s="1413">
        <v>3.0054000000000003</v>
      </c>
    </row>
    <row r="396" spans="2:10" x14ac:dyDescent="0.25">
      <c r="B396" s="1410" t="s">
        <v>815</v>
      </c>
      <c r="C396" s="1411">
        <v>2065</v>
      </c>
      <c r="D396" s="1410">
        <v>1190000</v>
      </c>
      <c r="E396" s="1412">
        <v>51590</v>
      </c>
      <c r="F396" s="1413">
        <v>29220</v>
      </c>
      <c r="G396" s="1410">
        <v>3.7582</v>
      </c>
      <c r="H396" s="1412">
        <v>8.4366999999999984E-3</v>
      </c>
      <c r="I396" s="1412">
        <v>-3.8261190000000002E-3</v>
      </c>
      <c r="J396" s="1413">
        <v>3.0054000000000003</v>
      </c>
    </row>
    <row r="397" spans="2:10" x14ac:dyDescent="0.25">
      <c r="B397" s="1410" t="s">
        <v>824</v>
      </c>
      <c r="C397" s="1411">
        <v>2065</v>
      </c>
      <c r="D397" s="1410">
        <v>1190000</v>
      </c>
      <c r="E397" s="1412">
        <v>51590</v>
      </c>
      <c r="F397" s="1413">
        <v>29220</v>
      </c>
      <c r="G397" s="1410">
        <v>3.7582</v>
      </c>
      <c r="H397" s="1412">
        <v>8.4366999999999984E-3</v>
      </c>
      <c r="I397" s="1412">
        <v>-3.8261190000000002E-3</v>
      </c>
      <c r="J397" s="1413">
        <v>3.0054000000000003</v>
      </c>
    </row>
    <row r="398" spans="2:10" ht="13" thickBot="1" x14ac:dyDescent="0.3">
      <c r="B398" s="1414" t="s">
        <v>1088</v>
      </c>
      <c r="C398" s="1415">
        <v>2065</v>
      </c>
      <c r="D398" s="1414">
        <v>1384000</v>
      </c>
      <c r="E398" s="1416">
        <v>1383000</v>
      </c>
      <c r="F398" s="1417">
        <v>5034</v>
      </c>
      <c r="G398" s="1414">
        <v>78.571100000000001</v>
      </c>
      <c r="H398" s="1416">
        <v>0.27494000000000002</v>
      </c>
      <c r="I398" s="1416">
        <v>2.3304000000000003E-3</v>
      </c>
      <c r="J398" s="1417">
        <v>87.594300000000004</v>
      </c>
    </row>
    <row r="399" spans="2:10" x14ac:dyDescent="0.25">
      <c r="B399" s="1406" t="s">
        <v>1085</v>
      </c>
      <c r="C399" s="1407">
        <v>2070</v>
      </c>
      <c r="D399" s="1406">
        <v>1092000</v>
      </c>
      <c r="E399" s="1408">
        <v>1092000</v>
      </c>
      <c r="F399" s="1409">
        <v>3971</v>
      </c>
      <c r="G399" s="1406">
        <v>5.7390999999999996</v>
      </c>
      <c r="H399" s="1408">
        <v>0.18462200000000001</v>
      </c>
      <c r="I399" s="1408">
        <v>8.61E-4</v>
      </c>
      <c r="J399" s="1409">
        <v>11.5648</v>
      </c>
    </row>
    <row r="400" spans="2:10" x14ac:dyDescent="0.25">
      <c r="B400" s="1410" t="s">
        <v>283</v>
      </c>
      <c r="C400" s="1411">
        <v>2070</v>
      </c>
      <c r="D400" s="1410">
        <v>1092000</v>
      </c>
      <c r="E400" s="1412">
        <v>1092000</v>
      </c>
      <c r="F400" s="1413">
        <v>3971</v>
      </c>
      <c r="G400" s="1410">
        <v>5.7390999999999996</v>
      </c>
      <c r="H400" s="1412">
        <v>0.18462200000000001</v>
      </c>
      <c r="I400" s="1412">
        <v>8.61E-4</v>
      </c>
      <c r="J400" s="1413">
        <v>11.5648</v>
      </c>
    </row>
    <row r="401" spans="2:10" x14ac:dyDescent="0.25">
      <c r="B401" s="1410" t="s">
        <v>1086</v>
      </c>
      <c r="C401" s="1411">
        <v>2070</v>
      </c>
      <c r="D401" s="1410">
        <v>1092000</v>
      </c>
      <c r="E401" s="1412">
        <v>1092000</v>
      </c>
      <c r="F401" s="1413">
        <v>3971</v>
      </c>
      <c r="G401" s="1410">
        <v>5.7390999999999996</v>
      </c>
      <c r="H401" s="1412">
        <v>0.18462200000000001</v>
      </c>
      <c r="I401" s="1412">
        <v>8.61E-4</v>
      </c>
      <c r="J401" s="1413">
        <v>11.5648</v>
      </c>
    </row>
    <row r="402" spans="2:10" x14ac:dyDescent="0.25">
      <c r="B402" s="1410" t="s">
        <v>681</v>
      </c>
      <c r="C402" s="1411">
        <v>2070</v>
      </c>
      <c r="D402" s="1410">
        <v>1092000</v>
      </c>
      <c r="E402" s="1412">
        <v>1092000</v>
      </c>
      <c r="F402" s="1413">
        <v>3971</v>
      </c>
      <c r="G402" s="1410">
        <v>5.7390999999999996</v>
      </c>
      <c r="H402" s="1412">
        <v>0.18462200000000001</v>
      </c>
      <c r="I402" s="1412">
        <v>8.61E-4</v>
      </c>
      <c r="J402" s="1413">
        <v>11.5648</v>
      </c>
    </row>
    <row r="403" spans="2:10" x14ac:dyDescent="0.25">
      <c r="B403" s="1410" t="s">
        <v>682</v>
      </c>
      <c r="C403" s="1411">
        <v>2070</v>
      </c>
      <c r="D403" s="1410">
        <v>-1185000</v>
      </c>
      <c r="E403" s="1412">
        <v>0</v>
      </c>
      <c r="F403" s="1413">
        <v>0</v>
      </c>
      <c r="G403" s="1410">
        <v>-85.800000000000011</v>
      </c>
      <c r="H403" s="1412">
        <v>0.54700000000000004</v>
      </c>
      <c r="I403" s="1412">
        <v>-1.8286999999999999E-3</v>
      </c>
      <c r="J403" s="1413">
        <v>-70.08</v>
      </c>
    </row>
    <row r="404" spans="2:10" x14ac:dyDescent="0.25">
      <c r="B404" s="1410" t="s">
        <v>683</v>
      </c>
      <c r="C404" s="1411">
        <v>2070</v>
      </c>
      <c r="D404" s="1410">
        <v>1721000</v>
      </c>
      <c r="E404" s="1412">
        <v>1293000</v>
      </c>
      <c r="F404" s="1413">
        <v>15050</v>
      </c>
      <c r="G404" s="1410">
        <v>125.08</v>
      </c>
      <c r="H404" s="1412">
        <v>0.20477100000000001</v>
      </c>
      <c r="I404" s="1412">
        <v>1.7827000000000001E-3</v>
      </c>
      <c r="J404" s="1413">
        <v>129.82</v>
      </c>
    </row>
    <row r="405" spans="2:10" x14ac:dyDescent="0.25">
      <c r="B405" s="1410" t="s">
        <v>698</v>
      </c>
      <c r="C405" s="1411">
        <v>2070</v>
      </c>
      <c r="D405" s="1410">
        <v>1721000</v>
      </c>
      <c r="E405" s="1412">
        <v>1293000</v>
      </c>
      <c r="F405" s="1413">
        <v>15050</v>
      </c>
      <c r="G405" s="1410">
        <v>125.08</v>
      </c>
      <c r="H405" s="1412">
        <v>0.20477100000000001</v>
      </c>
      <c r="I405" s="1412">
        <v>1.7827000000000001E-3</v>
      </c>
      <c r="J405" s="1413">
        <v>129.82</v>
      </c>
    </row>
    <row r="406" spans="2:10" x14ac:dyDescent="0.25">
      <c r="B406" s="1410" t="s">
        <v>684</v>
      </c>
      <c r="C406" s="1411">
        <v>2070</v>
      </c>
      <c r="D406" s="1410">
        <v>1721000</v>
      </c>
      <c r="E406" s="1412">
        <v>1293000</v>
      </c>
      <c r="F406" s="1413">
        <v>15050</v>
      </c>
      <c r="G406" s="1410">
        <v>125.08</v>
      </c>
      <c r="H406" s="1412">
        <v>0.20477100000000001</v>
      </c>
      <c r="I406" s="1412">
        <v>1.7827000000000001E-3</v>
      </c>
      <c r="J406" s="1413">
        <v>129.82</v>
      </c>
    </row>
    <row r="407" spans="2:10" x14ac:dyDescent="0.25">
      <c r="B407" s="1410" t="s">
        <v>1087</v>
      </c>
      <c r="C407" s="1411">
        <v>2070</v>
      </c>
      <c r="D407" s="1410">
        <v>1022000</v>
      </c>
      <c r="E407" s="1412">
        <v>1021000</v>
      </c>
      <c r="F407" s="1413">
        <v>15510</v>
      </c>
      <c r="G407" s="1410">
        <v>1.6964999999999999</v>
      </c>
      <c r="H407" s="1412">
        <v>0.14096238999999999</v>
      </c>
      <c r="I407" s="1412">
        <v>3.2765999999999998E-5</v>
      </c>
      <c r="J407" s="1413">
        <v>5.9536999999999995</v>
      </c>
    </row>
    <row r="408" spans="2:10" x14ac:dyDescent="0.25">
      <c r="B408" s="1410" t="s">
        <v>716</v>
      </c>
      <c r="C408" s="1411">
        <v>2070</v>
      </c>
      <c r="D408" s="1410">
        <v>1022000</v>
      </c>
      <c r="E408" s="1412">
        <v>1021000</v>
      </c>
      <c r="F408" s="1413">
        <v>15510</v>
      </c>
      <c r="G408" s="1410">
        <v>1.6964999999999999</v>
      </c>
      <c r="H408" s="1412">
        <v>0.14096238999999999</v>
      </c>
      <c r="I408" s="1412">
        <v>3.2765999999999998E-5</v>
      </c>
      <c r="J408" s="1413">
        <v>5.9536999999999995</v>
      </c>
    </row>
    <row r="409" spans="2:10" x14ac:dyDescent="0.25">
      <c r="B409" s="1410" t="s">
        <v>717</v>
      </c>
      <c r="C409" s="1411">
        <v>2070</v>
      </c>
      <c r="D409" s="1410">
        <v>1022000</v>
      </c>
      <c r="E409" s="1412">
        <v>1021000</v>
      </c>
      <c r="F409" s="1413">
        <v>15510</v>
      </c>
      <c r="G409" s="1410">
        <v>1.6964999999999999</v>
      </c>
      <c r="H409" s="1412">
        <v>0.14096238999999999</v>
      </c>
      <c r="I409" s="1412">
        <v>3.2765999999999998E-5</v>
      </c>
      <c r="J409" s="1413">
        <v>5.9536999999999995</v>
      </c>
    </row>
    <row r="410" spans="2:10" x14ac:dyDescent="0.25">
      <c r="B410" s="1410" t="s">
        <v>912</v>
      </c>
      <c r="C410" s="1411">
        <v>2070</v>
      </c>
      <c r="D410" s="1410">
        <v>1209000</v>
      </c>
      <c r="E410" s="1412">
        <v>1202000</v>
      </c>
      <c r="F410" s="1413">
        <v>1052000</v>
      </c>
      <c r="G410" s="1410">
        <v>17.969000000000001</v>
      </c>
      <c r="H410" s="1412">
        <v>0.164128</v>
      </c>
      <c r="I410" s="1412">
        <v>2.9025999999999998E-4</v>
      </c>
      <c r="J410" s="1413">
        <v>22.988</v>
      </c>
    </row>
    <row r="411" spans="2:10" x14ac:dyDescent="0.25">
      <c r="B411" s="1410" t="s">
        <v>910</v>
      </c>
      <c r="C411" s="1411">
        <v>2070</v>
      </c>
      <c r="D411" s="1410">
        <v>1585000</v>
      </c>
      <c r="E411" s="1412">
        <v>696300</v>
      </c>
      <c r="F411" s="1413">
        <v>286000</v>
      </c>
      <c r="G411" s="1410">
        <v>38.049999999999997</v>
      </c>
      <c r="H411" s="1412">
        <v>0.1118</v>
      </c>
      <c r="I411" s="1412">
        <v>2.5350000000000001E-2</v>
      </c>
      <c r="J411" s="1413">
        <v>45.19</v>
      </c>
    </row>
    <row r="412" spans="2:10" x14ac:dyDescent="0.25">
      <c r="B412" s="1410" t="s">
        <v>913</v>
      </c>
      <c r="C412" s="1411">
        <v>2070</v>
      </c>
      <c r="D412" s="1410">
        <v>1249000</v>
      </c>
      <c r="E412" s="1412">
        <v>1242000</v>
      </c>
      <c r="F412" s="1413">
        <v>1078000</v>
      </c>
      <c r="G412" s="1410">
        <v>23.84</v>
      </c>
      <c r="H412" s="1412">
        <v>0.16985799999999998</v>
      </c>
      <c r="I412" s="1412">
        <v>3.7813000000000001E-4</v>
      </c>
      <c r="J412" s="1413">
        <v>29.157000000000004</v>
      </c>
    </row>
    <row r="413" spans="2:10" x14ac:dyDescent="0.25">
      <c r="B413" s="1410" t="s">
        <v>1081</v>
      </c>
      <c r="C413" s="1411">
        <v>2070</v>
      </c>
      <c r="D413" s="1410">
        <v>1190000</v>
      </c>
      <c r="E413" s="1412">
        <v>51590</v>
      </c>
      <c r="F413" s="1413">
        <v>29220</v>
      </c>
      <c r="G413" s="1410">
        <v>3.7582</v>
      </c>
      <c r="H413" s="1412">
        <v>8.4366999999999984E-3</v>
      </c>
      <c r="I413" s="1412">
        <v>-3.8261190000000002E-3</v>
      </c>
      <c r="J413" s="1413">
        <v>3.0054000000000003</v>
      </c>
    </row>
    <row r="414" spans="2:10" x14ac:dyDescent="0.25">
      <c r="B414" s="1410" t="s">
        <v>815</v>
      </c>
      <c r="C414" s="1411">
        <v>2070</v>
      </c>
      <c r="D414" s="1410">
        <v>1190000</v>
      </c>
      <c r="E414" s="1412">
        <v>51590</v>
      </c>
      <c r="F414" s="1413">
        <v>29220</v>
      </c>
      <c r="G414" s="1410">
        <v>3.7582</v>
      </c>
      <c r="H414" s="1412">
        <v>8.4366999999999984E-3</v>
      </c>
      <c r="I414" s="1412">
        <v>-3.8261190000000002E-3</v>
      </c>
      <c r="J414" s="1413">
        <v>3.0054000000000003</v>
      </c>
    </row>
    <row r="415" spans="2:10" x14ac:dyDescent="0.25">
      <c r="B415" s="1410" t="s">
        <v>824</v>
      </c>
      <c r="C415" s="1411">
        <v>2070</v>
      </c>
      <c r="D415" s="1410">
        <v>1190000</v>
      </c>
      <c r="E415" s="1412">
        <v>51590</v>
      </c>
      <c r="F415" s="1413">
        <v>29220</v>
      </c>
      <c r="G415" s="1410">
        <v>3.7582</v>
      </c>
      <c r="H415" s="1412">
        <v>8.4366999999999984E-3</v>
      </c>
      <c r="I415" s="1412">
        <v>-3.8261190000000002E-3</v>
      </c>
      <c r="J415" s="1413">
        <v>3.0054000000000003</v>
      </c>
    </row>
    <row r="416" spans="2:10" ht="13" thickBot="1" x14ac:dyDescent="0.3">
      <c r="B416" s="1414" t="s">
        <v>1088</v>
      </c>
      <c r="C416" s="1415">
        <v>2070</v>
      </c>
      <c r="D416" s="1414">
        <v>1384000</v>
      </c>
      <c r="E416" s="1416">
        <v>1383000</v>
      </c>
      <c r="F416" s="1417">
        <v>5034</v>
      </c>
      <c r="G416" s="1414">
        <v>78.571100000000001</v>
      </c>
      <c r="H416" s="1416">
        <v>0.27494000000000002</v>
      </c>
      <c r="I416" s="1416">
        <v>2.3304000000000003E-3</v>
      </c>
      <c r="J416" s="1417">
        <v>87.594300000000004</v>
      </c>
    </row>
    <row r="417" spans="2:10" x14ac:dyDescent="0.25">
      <c r="B417" s="1406" t="s">
        <v>1085</v>
      </c>
      <c r="C417" s="1407">
        <v>2075</v>
      </c>
      <c r="D417" s="1406">
        <v>1092000</v>
      </c>
      <c r="E417" s="1408">
        <v>1092000</v>
      </c>
      <c r="F417" s="1409">
        <v>3971</v>
      </c>
      <c r="G417" s="1406">
        <v>5.7390999999999996</v>
      </c>
      <c r="H417" s="1408">
        <v>0.18462200000000001</v>
      </c>
      <c r="I417" s="1408">
        <v>8.61E-4</v>
      </c>
      <c r="J417" s="1409">
        <v>11.5648</v>
      </c>
    </row>
    <row r="418" spans="2:10" x14ac:dyDescent="0.25">
      <c r="B418" s="1410" t="s">
        <v>283</v>
      </c>
      <c r="C418" s="1411">
        <v>2075</v>
      </c>
      <c r="D418" s="1410">
        <v>1092000</v>
      </c>
      <c r="E418" s="1412">
        <v>1092000</v>
      </c>
      <c r="F418" s="1413">
        <v>3971</v>
      </c>
      <c r="G418" s="1410">
        <v>5.7390999999999996</v>
      </c>
      <c r="H418" s="1412">
        <v>0.18462200000000001</v>
      </c>
      <c r="I418" s="1412">
        <v>8.61E-4</v>
      </c>
      <c r="J418" s="1413">
        <v>11.5648</v>
      </c>
    </row>
    <row r="419" spans="2:10" x14ac:dyDescent="0.25">
      <c r="B419" s="1410" t="s">
        <v>1086</v>
      </c>
      <c r="C419" s="1411">
        <v>2075</v>
      </c>
      <c r="D419" s="1410">
        <v>1092000</v>
      </c>
      <c r="E419" s="1412">
        <v>1092000</v>
      </c>
      <c r="F419" s="1413">
        <v>3971</v>
      </c>
      <c r="G419" s="1410">
        <v>5.7390999999999996</v>
      </c>
      <c r="H419" s="1412">
        <v>0.18462200000000001</v>
      </c>
      <c r="I419" s="1412">
        <v>8.61E-4</v>
      </c>
      <c r="J419" s="1413">
        <v>11.5648</v>
      </c>
    </row>
    <row r="420" spans="2:10" x14ac:dyDescent="0.25">
      <c r="B420" s="1410" t="s">
        <v>681</v>
      </c>
      <c r="C420" s="1411">
        <v>2075</v>
      </c>
      <c r="D420" s="1410">
        <v>1092000</v>
      </c>
      <c r="E420" s="1412">
        <v>1092000</v>
      </c>
      <c r="F420" s="1413">
        <v>3971</v>
      </c>
      <c r="G420" s="1410">
        <v>5.7390999999999996</v>
      </c>
      <c r="H420" s="1412">
        <v>0.18462200000000001</v>
      </c>
      <c r="I420" s="1412">
        <v>8.61E-4</v>
      </c>
      <c r="J420" s="1413">
        <v>11.5648</v>
      </c>
    </row>
    <row r="421" spans="2:10" x14ac:dyDescent="0.25">
      <c r="B421" s="1410" t="s">
        <v>682</v>
      </c>
      <c r="C421" s="1411">
        <v>2075</v>
      </c>
      <c r="D421" s="1410">
        <v>-1185000</v>
      </c>
      <c r="E421" s="1412">
        <v>0</v>
      </c>
      <c r="F421" s="1413">
        <v>0</v>
      </c>
      <c r="G421" s="1410">
        <v>-85.800000000000011</v>
      </c>
      <c r="H421" s="1412">
        <v>0.54700000000000004</v>
      </c>
      <c r="I421" s="1412">
        <v>-1.8286999999999999E-3</v>
      </c>
      <c r="J421" s="1413">
        <v>-70.08</v>
      </c>
    </row>
    <row r="422" spans="2:10" x14ac:dyDescent="0.25">
      <c r="B422" s="1410" t="s">
        <v>683</v>
      </c>
      <c r="C422" s="1411">
        <v>2075</v>
      </c>
      <c r="D422" s="1410">
        <v>1721000</v>
      </c>
      <c r="E422" s="1412">
        <v>1293000</v>
      </c>
      <c r="F422" s="1413">
        <v>15050</v>
      </c>
      <c r="G422" s="1410">
        <v>125.08</v>
      </c>
      <c r="H422" s="1412">
        <v>0.20477100000000001</v>
      </c>
      <c r="I422" s="1412">
        <v>1.7827000000000001E-3</v>
      </c>
      <c r="J422" s="1413">
        <v>129.82</v>
      </c>
    </row>
    <row r="423" spans="2:10" x14ac:dyDescent="0.25">
      <c r="B423" s="1410" t="s">
        <v>698</v>
      </c>
      <c r="C423" s="1411">
        <v>2075</v>
      </c>
      <c r="D423" s="1410">
        <v>1721000</v>
      </c>
      <c r="E423" s="1412">
        <v>1293000</v>
      </c>
      <c r="F423" s="1413">
        <v>15050</v>
      </c>
      <c r="G423" s="1410">
        <v>125.08</v>
      </c>
      <c r="H423" s="1412">
        <v>0.20477100000000001</v>
      </c>
      <c r="I423" s="1412">
        <v>1.7827000000000001E-3</v>
      </c>
      <c r="J423" s="1413">
        <v>129.82</v>
      </c>
    </row>
    <row r="424" spans="2:10" x14ac:dyDescent="0.25">
      <c r="B424" s="1410" t="s">
        <v>684</v>
      </c>
      <c r="C424" s="1411">
        <v>2075</v>
      </c>
      <c r="D424" s="1410">
        <v>1721000</v>
      </c>
      <c r="E424" s="1412">
        <v>1293000</v>
      </c>
      <c r="F424" s="1413">
        <v>15050</v>
      </c>
      <c r="G424" s="1410">
        <v>125.08</v>
      </c>
      <c r="H424" s="1412">
        <v>0.20477100000000001</v>
      </c>
      <c r="I424" s="1412">
        <v>1.7827000000000001E-3</v>
      </c>
      <c r="J424" s="1413">
        <v>129.82</v>
      </c>
    </row>
    <row r="425" spans="2:10" x14ac:dyDescent="0.25">
      <c r="B425" s="1410" t="s">
        <v>1087</v>
      </c>
      <c r="C425" s="1411">
        <v>2075</v>
      </c>
      <c r="D425" s="1410">
        <v>1022000</v>
      </c>
      <c r="E425" s="1412">
        <v>1021000</v>
      </c>
      <c r="F425" s="1413">
        <v>15510</v>
      </c>
      <c r="G425" s="1410">
        <v>1.6964999999999999</v>
      </c>
      <c r="H425" s="1412">
        <v>0.14096238999999999</v>
      </c>
      <c r="I425" s="1412">
        <v>3.2765999999999998E-5</v>
      </c>
      <c r="J425" s="1413">
        <v>5.9536999999999995</v>
      </c>
    </row>
    <row r="426" spans="2:10" x14ac:dyDescent="0.25">
      <c r="B426" s="1410" t="s">
        <v>716</v>
      </c>
      <c r="C426" s="1411">
        <v>2075</v>
      </c>
      <c r="D426" s="1410">
        <v>1022000</v>
      </c>
      <c r="E426" s="1412">
        <v>1021000</v>
      </c>
      <c r="F426" s="1413">
        <v>15510</v>
      </c>
      <c r="G426" s="1410">
        <v>1.6964999999999999</v>
      </c>
      <c r="H426" s="1412">
        <v>0.14096238999999999</v>
      </c>
      <c r="I426" s="1412">
        <v>3.2765999999999998E-5</v>
      </c>
      <c r="J426" s="1413">
        <v>5.9536999999999995</v>
      </c>
    </row>
    <row r="427" spans="2:10" x14ac:dyDescent="0.25">
      <c r="B427" s="1410" t="s">
        <v>717</v>
      </c>
      <c r="C427" s="1411">
        <v>2075</v>
      </c>
      <c r="D427" s="1410">
        <v>1022000</v>
      </c>
      <c r="E427" s="1412">
        <v>1021000</v>
      </c>
      <c r="F427" s="1413">
        <v>15510</v>
      </c>
      <c r="G427" s="1410">
        <v>1.6964999999999999</v>
      </c>
      <c r="H427" s="1412">
        <v>0.14096238999999999</v>
      </c>
      <c r="I427" s="1412">
        <v>3.2765999999999998E-5</v>
      </c>
      <c r="J427" s="1413">
        <v>5.9536999999999995</v>
      </c>
    </row>
    <row r="428" spans="2:10" x14ac:dyDescent="0.25">
      <c r="B428" s="1410" t="s">
        <v>912</v>
      </c>
      <c r="C428" s="1411">
        <v>2075</v>
      </c>
      <c r="D428" s="1410">
        <v>1209000</v>
      </c>
      <c r="E428" s="1412">
        <v>1202000</v>
      </c>
      <c r="F428" s="1413">
        <v>1052000</v>
      </c>
      <c r="G428" s="1410">
        <v>17.969000000000001</v>
      </c>
      <c r="H428" s="1412">
        <v>0.164128</v>
      </c>
      <c r="I428" s="1412">
        <v>2.9025999999999998E-4</v>
      </c>
      <c r="J428" s="1413">
        <v>22.988</v>
      </c>
    </row>
    <row r="429" spans="2:10" x14ac:dyDescent="0.25">
      <c r="B429" s="1410" t="s">
        <v>910</v>
      </c>
      <c r="C429" s="1411">
        <v>2075</v>
      </c>
      <c r="D429" s="1410">
        <v>1585000</v>
      </c>
      <c r="E429" s="1412">
        <v>696300</v>
      </c>
      <c r="F429" s="1413">
        <v>286000</v>
      </c>
      <c r="G429" s="1410">
        <v>38.049999999999997</v>
      </c>
      <c r="H429" s="1412">
        <v>0.1118</v>
      </c>
      <c r="I429" s="1412">
        <v>2.5350000000000001E-2</v>
      </c>
      <c r="J429" s="1413">
        <v>45.19</v>
      </c>
    </row>
    <row r="430" spans="2:10" x14ac:dyDescent="0.25">
      <c r="B430" s="1410" t="s">
        <v>913</v>
      </c>
      <c r="C430" s="1411">
        <v>2075</v>
      </c>
      <c r="D430" s="1410">
        <v>1249000</v>
      </c>
      <c r="E430" s="1412">
        <v>1242000</v>
      </c>
      <c r="F430" s="1413">
        <v>1078000</v>
      </c>
      <c r="G430" s="1410">
        <v>23.84</v>
      </c>
      <c r="H430" s="1412">
        <v>0.16985799999999998</v>
      </c>
      <c r="I430" s="1412">
        <v>3.7813000000000001E-4</v>
      </c>
      <c r="J430" s="1413">
        <v>29.157000000000004</v>
      </c>
    </row>
    <row r="431" spans="2:10" x14ac:dyDescent="0.25">
      <c r="B431" s="1410" t="s">
        <v>1081</v>
      </c>
      <c r="C431" s="1411">
        <v>2075</v>
      </c>
      <c r="D431" s="1410">
        <v>1190000</v>
      </c>
      <c r="E431" s="1412">
        <v>51590</v>
      </c>
      <c r="F431" s="1413">
        <v>29220</v>
      </c>
      <c r="G431" s="1410">
        <v>3.7582</v>
      </c>
      <c r="H431" s="1412">
        <v>8.4366999999999984E-3</v>
      </c>
      <c r="I431" s="1412">
        <v>-3.8261190000000002E-3</v>
      </c>
      <c r="J431" s="1413">
        <v>3.0054000000000003</v>
      </c>
    </row>
    <row r="432" spans="2:10" x14ac:dyDescent="0.25">
      <c r="B432" s="1410" t="s">
        <v>815</v>
      </c>
      <c r="C432" s="1411">
        <v>2075</v>
      </c>
      <c r="D432" s="1410">
        <v>1190000</v>
      </c>
      <c r="E432" s="1412">
        <v>51590</v>
      </c>
      <c r="F432" s="1413">
        <v>29220</v>
      </c>
      <c r="G432" s="1410">
        <v>3.7582</v>
      </c>
      <c r="H432" s="1412">
        <v>8.4366999999999984E-3</v>
      </c>
      <c r="I432" s="1412">
        <v>-3.8261190000000002E-3</v>
      </c>
      <c r="J432" s="1413">
        <v>3.0054000000000003</v>
      </c>
    </row>
    <row r="433" spans="2:10" x14ac:dyDescent="0.25">
      <c r="B433" s="1410" t="s">
        <v>824</v>
      </c>
      <c r="C433" s="1411">
        <v>2075</v>
      </c>
      <c r="D433" s="1410">
        <v>1190000</v>
      </c>
      <c r="E433" s="1412">
        <v>51590</v>
      </c>
      <c r="F433" s="1413">
        <v>29220</v>
      </c>
      <c r="G433" s="1410">
        <v>3.7582</v>
      </c>
      <c r="H433" s="1412">
        <v>8.4366999999999984E-3</v>
      </c>
      <c r="I433" s="1412">
        <v>-3.8261190000000002E-3</v>
      </c>
      <c r="J433" s="1413">
        <v>3.0054000000000003</v>
      </c>
    </row>
    <row r="434" spans="2:10" ht="13" thickBot="1" x14ac:dyDescent="0.3">
      <c r="B434" s="1414" t="s">
        <v>1088</v>
      </c>
      <c r="C434" s="1415">
        <v>2075</v>
      </c>
      <c r="D434" s="1414">
        <v>1384000</v>
      </c>
      <c r="E434" s="1416">
        <v>1383000</v>
      </c>
      <c r="F434" s="1417">
        <v>5034</v>
      </c>
      <c r="G434" s="1414">
        <v>78.571100000000001</v>
      </c>
      <c r="H434" s="1416">
        <v>0.27494000000000002</v>
      </c>
      <c r="I434" s="1416">
        <v>2.3304000000000003E-3</v>
      </c>
      <c r="J434" s="1417">
        <v>87.594300000000004</v>
      </c>
    </row>
    <row r="435" spans="2:10" x14ac:dyDescent="0.25">
      <c r="B435" s="1406" t="s">
        <v>1085</v>
      </c>
      <c r="C435" s="1407">
        <v>2080</v>
      </c>
      <c r="D435" s="1406">
        <v>1092000</v>
      </c>
      <c r="E435" s="1408">
        <v>1092000</v>
      </c>
      <c r="F435" s="1409">
        <v>3971</v>
      </c>
      <c r="G435" s="1406">
        <v>5.7390999999999996</v>
      </c>
      <c r="H435" s="1408">
        <v>0.18462200000000001</v>
      </c>
      <c r="I435" s="1408">
        <v>8.61E-4</v>
      </c>
      <c r="J435" s="1409">
        <v>11.5648</v>
      </c>
    </row>
    <row r="436" spans="2:10" x14ac:dyDescent="0.25">
      <c r="B436" s="1410" t="s">
        <v>283</v>
      </c>
      <c r="C436" s="1411">
        <v>2080</v>
      </c>
      <c r="D436" s="1410">
        <v>1092000</v>
      </c>
      <c r="E436" s="1412">
        <v>1092000</v>
      </c>
      <c r="F436" s="1413">
        <v>3971</v>
      </c>
      <c r="G436" s="1410">
        <v>5.7390999999999996</v>
      </c>
      <c r="H436" s="1412">
        <v>0.18462200000000001</v>
      </c>
      <c r="I436" s="1412">
        <v>8.61E-4</v>
      </c>
      <c r="J436" s="1413">
        <v>11.5648</v>
      </c>
    </row>
    <row r="437" spans="2:10" x14ac:dyDescent="0.25">
      <c r="B437" s="1410" t="s">
        <v>1086</v>
      </c>
      <c r="C437" s="1411">
        <v>2080</v>
      </c>
      <c r="D437" s="1410">
        <v>1092000</v>
      </c>
      <c r="E437" s="1412">
        <v>1092000</v>
      </c>
      <c r="F437" s="1413">
        <v>3971</v>
      </c>
      <c r="G437" s="1410">
        <v>5.7390999999999996</v>
      </c>
      <c r="H437" s="1412">
        <v>0.18462200000000001</v>
      </c>
      <c r="I437" s="1412">
        <v>8.61E-4</v>
      </c>
      <c r="J437" s="1413">
        <v>11.5648</v>
      </c>
    </row>
    <row r="438" spans="2:10" x14ac:dyDescent="0.25">
      <c r="B438" s="1410" t="s">
        <v>681</v>
      </c>
      <c r="C438" s="1411">
        <v>2080</v>
      </c>
      <c r="D438" s="1410">
        <v>1092000</v>
      </c>
      <c r="E438" s="1412">
        <v>1092000</v>
      </c>
      <c r="F438" s="1413">
        <v>3971</v>
      </c>
      <c r="G438" s="1410">
        <v>5.7390999999999996</v>
      </c>
      <c r="H438" s="1412">
        <v>0.18462200000000001</v>
      </c>
      <c r="I438" s="1412">
        <v>8.61E-4</v>
      </c>
      <c r="J438" s="1413">
        <v>11.5648</v>
      </c>
    </row>
    <row r="439" spans="2:10" x14ac:dyDescent="0.25">
      <c r="B439" s="1410" t="s">
        <v>682</v>
      </c>
      <c r="C439" s="1411">
        <v>2080</v>
      </c>
      <c r="D439" s="1410">
        <v>-1185000</v>
      </c>
      <c r="E439" s="1412">
        <v>0</v>
      </c>
      <c r="F439" s="1413">
        <v>0</v>
      </c>
      <c r="G439" s="1410">
        <v>-85.800000000000011</v>
      </c>
      <c r="H439" s="1412">
        <v>0.54700000000000004</v>
      </c>
      <c r="I439" s="1412">
        <v>-1.8286999999999999E-3</v>
      </c>
      <c r="J439" s="1413">
        <v>-70.08</v>
      </c>
    </row>
    <row r="440" spans="2:10" x14ac:dyDescent="0.25">
      <c r="B440" s="1410" t="s">
        <v>683</v>
      </c>
      <c r="C440" s="1411">
        <v>2080</v>
      </c>
      <c r="D440" s="1410">
        <v>1721000</v>
      </c>
      <c r="E440" s="1412">
        <v>1293000</v>
      </c>
      <c r="F440" s="1413">
        <v>15050</v>
      </c>
      <c r="G440" s="1410">
        <v>125.08</v>
      </c>
      <c r="H440" s="1412">
        <v>0.20477100000000001</v>
      </c>
      <c r="I440" s="1412">
        <v>1.7827000000000001E-3</v>
      </c>
      <c r="J440" s="1413">
        <v>129.82</v>
      </c>
    </row>
    <row r="441" spans="2:10" x14ac:dyDescent="0.25">
      <c r="B441" s="1410" t="s">
        <v>698</v>
      </c>
      <c r="C441" s="1411">
        <v>2080</v>
      </c>
      <c r="D441" s="1410">
        <v>1721000</v>
      </c>
      <c r="E441" s="1412">
        <v>1293000</v>
      </c>
      <c r="F441" s="1413">
        <v>15050</v>
      </c>
      <c r="G441" s="1410">
        <v>125.08</v>
      </c>
      <c r="H441" s="1412">
        <v>0.20477100000000001</v>
      </c>
      <c r="I441" s="1412">
        <v>1.7827000000000001E-3</v>
      </c>
      <c r="J441" s="1413">
        <v>129.82</v>
      </c>
    </row>
    <row r="442" spans="2:10" x14ac:dyDescent="0.25">
      <c r="B442" s="1410" t="s">
        <v>684</v>
      </c>
      <c r="C442" s="1411">
        <v>2080</v>
      </c>
      <c r="D442" s="1410">
        <v>1721000</v>
      </c>
      <c r="E442" s="1412">
        <v>1293000</v>
      </c>
      <c r="F442" s="1413">
        <v>15050</v>
      </c>
      <c r="G442" s="1410">
        <v>125.08</v>
      </c>
      <c r="H442" s="1412">
        <v>0.20477100000000001</v>
      </c>
      <c r="I442" s="1412">
        <v>1.7827000000000001E-3</v>
      </c>
      <c r="J442" s="1413">
        <v>129.82</v>
      </c>
    </row>
    <row r="443" spans="2:10" x14ac:dyDescent="0.25">
      <c r="B443" s="1410" t="s">
        <v>1087</v>
      </c>
      <c r="C443" s="1411">
        <v>2080</v>
      </c>
      <c r="D443" s="1410">
        <v>1022000</v>
      </c>
      <c r="E443" s="1412">
        <v>1021000</v>
      </c>
      <c r="F443" s="1413">
        <v>15510</v>
      </c>
      <c r="G443" s="1410">
        <v>1.6964999999999999</v>
      </c>
      <c r="H443" s="1412">
        <v>0.14096238999999999</v>
      </c>
      <c r="I443" s="1412">
        <v>3.2765999999999998E-5</v>
      </c>
      <c r="J443" s="1413">
        <v>5.9536999999999995</v>
      </c>
    </row>
    <row r="444" spans="2:10" x14ac:dyDescent="0.25">
      <c r="B444" s="1410" t="s">
        <v>716</v>
      </c>
      <c r="C444" s="1411">
        <v>2080</v>
      </c>
      <c r="D444" s="1410">
        <v>1022000</v>
      </c>
      <c r="E444" s="1412">
        <v>1021000</v>
      </c>
      <c r="F444" s="1413">
        <v>15510</v>
      </c>
      <c r="G444" s="1410">
        <v>1.6964999999999999</v>
      </c>
      <c r="H444" s="1412">
        <v>0.14096238999999999</v>
      </c>
      <c r="I444" s="1412">
        <v>3.2765999999999998E-5</v>
      </c>
      <c r="J444" s="1413">
        <v>5.9536999999999995</v>
      </c>
    </row>
    <row r="445" spans="2:10" x14ac:dyDescent="0.25">
      <c r="B445" s="1410" t="s">
        <v>717</v>
      </c>
      <c r="C445" s="1411">
        <v>2080</v>
      </c>
      <c r="D445" s="1410">
        <v>1022000</v>
      </c>
      <c r="E445" s="1412">
        <v>1021000</v>
      </c>
      <c r="F445" s="1413">
        <v>15510</v>
      </c>
      <c r="G445" s="1410">
        <v>1.6964999999999999</v>
      </c>
      <c r="H445" s="1412">
        <v>0.14096238999999999</v>
      </c>
      <c r="I445" s="1412">
        <v>3.2765999999999998E-5</v>
      </c>
      <c r="J445" s="1413">
        <v>5.9536999999999995</v>
      </c>
    </row>
    <row r="446" spans="2:10" x14ac:dyDescent="0.25">
      <c r="B446" s="1410" t="s">
        <v>912</v>
      </c>
      <c r="C446" s="1411">
        <v>2080</v>
      </c>
      <c r="D446" s="1410">
        <v>1209000</v>
      </c>
      <c r="E446" s="1412">
        <v>1202000</v>
      </c>
      <c r="F446" s="1413">
        <v>1052000</v>
      </c>
      <c r="G446" s="1410">
        <v>17.969000000000001</v>
      </c>
      <c r="H446" s="1412">
        <v>0.164128</v>
      </c>
      <c r="I446" s="1412">
        <v>2.9025999999999998E-4</v>
      </c>
      <c r="J446" s="1413">
        <v>22.988</v>
      </c>
    </row>
    <row r="447" spans="2:10" x14ac:dyDescent="0.25">
      <c r="B447" s="1410" t="s">
        <v>910</v>
      </c>
      <c r="C447" s="1411">
        <v>2080</v>
      </c>
      <c r="D447" s="1410">
        <v>1585000</v>
      </c>
      <c r="E447" s="1412">
        <v>696300</v>
      </c>
      <c r="F447" s="1413">
        <v>286000</v>
      </c>
      <c r="G447" s="1410">
        <v>38.049999999999997</v>
      </c>
      <c r="H447" s="1412">
        <v>0.1118</v>
      </c>
      <c r="I447" s="1412">
        <v>2.5350000000000001E-2</v>
      </c>
      <c r="J447" s="1413">
        <v>45.19</v>
      </c>
    </row>
    <row r="448" spans="2:10" x14ac:dyDescent="0.25">
      <c r="B448" s="1410" t="s">
        <v>913</v>
      </c>
      <c r="C448" s="1411">
        <v>2080</v>
      </c>
      <c r="D448" s="1410">
        <v>1249000</v>
      </c>
      <c r="E448" s="1412">
        <v>1242000</v>
      </c>
      <c r="F448" s="1413">
        <v>1078000</v>
      </c>
      <c r="G448" s="1410">
        <v>23.84</v>
      </c>
      <c r="H448" s="1412">
        <v>0.16985799999999998</v>
      </c>
      <c r="I448" s="1412">
        <v>3.7813000000000001E-4</v>
      </c>
      <c r="J448" s="1413">
        <v>29.157000000000004</v>
      </c>
    </row>
    <row r="449" spans="2:10" x14ac:dyDescent="0.25">
      <c r="B449" s="1410" t="s">
        <v>1081</v>
      </c>
      <c r="C449" s="1411">
        <v>2080</v>
      </c>
      <c r="D449" s="1410">
        <v>1190000</v>
      </c>
      <c r="E449" s="1412">
        <v>51590</v>
      </c>
      <c r="F449" s="1413">
        <v>29220</v>
      </c>
      <c r="G449" s="1410">
        <v>3.7582</v>
      </c>
      <c r="H449" s="1412">
        <v>8.4366999999999984E-3</v>
      </c>
      <c r="I449" s="1412">
        <v>-3.8261190000000002E-3</v>
      </c>
      <c r="J449" s="1413">
        <v>3.0054000000000003</v>
      </c>
    </row>
    <row r="450" spans="2:10" x14ac:dyDescent="0.25">
      <c r="B450" s="1410" t="s">
        <v>815</v>
      </c>
      <c r="C450" s="1411">
        <v>2080</v>
      </c>
      <c r="D450" s="1410">
        <v>1190000</v>
      </c>
      <c r="E450" s="1412">
        <v>51590</v>
      </c>
      <c r="F450" s="1413">
        <v>29220</v>
      </c>
      <c r="G450" s="1410">
        <v>3.7582</v>
      </c>
      <c r="H450" s="1412">
        <v>8.4366999999999984E-3</v>
      </c>
      <c r="I450" s="1412">
        <v>-3.8261190000000002E-3</v>
      </c>
      <c r="J450" s="1413">
        <v>3.0054000000000003</v>
      </c>
    </row>
    <row r="451" spans="2:10" x14ac:dyDescent="0.25">
      <c r="B451" s="1410" t="s">
        <v>824</v>
      </c>
      <c r="C451" s="1411">
        <v>2080</v>
      </c>
      <c r="D451" s="1410">
        <v>1190000</v>
      </c>
      <c r="E451" s="1412">
        <v>51590</v>
      </c>
      <c r="F451" s="1413">
        <v>29220</v>
      </c>
      <c r="G451" s="1410">
        <v>3.7582</v>
      </c>
      <c r="H451" s="1412">
        <v>8.4366999999999984E-3</v>
      </c>
      <c r="I451" s="1412">
        <v>-3.8261190000000002E-3</v>
      </c>
      <c r="J451" s="1413">
        <v>3.0054000000000003</v>
      </c>
    </row>
    <row r="452" spans="2:10" ht="13" thickBot="1" x14ac:dyDescent="0.3">
      <c r="B452" s="1414" t="s">
        <v>1088</v>
      </c>
      <c r="C452" s="1415">
        <v>2080</v>
      </c>
      <c r="D452" s="1414">
        <v>1384000</v>
      </c>
      <c r="E452" s="1416">
        <v>1383000</v>
      </c>
      <c r="F452" s="1417">
        <v>5034</v>
      </c>
      <c r="G452" s="1414">
        <v>78.571100000000001</v>
      </c>
      <c r="H452" s="1416">
        <v>0.27494000000000002</v>
      </c>
      <c r="I452" s="1416">
        <v>2.3304000000000003E-3</v>
      </c>
      <c r="J452" s="1417">
        <v>87.594300000000004</v>
      </c>
    </row>
    <row r="453" spans="2:10" x14ac:dyDescent="0.25">
      <c r="B453" s="1406" t="s">
        <v>1085</v>
      </c>
      <c r="C453" s="1407">
        <v>2085</v>
      </c>
      <c r="D453" s="1406">
        <v>1092000</v>
      </c>
      <c r="E453" s="1408">
        <v>1092000</v>
      </c>
      <c r="F453" s="1409">
        <v>3971</v>
      </c>
      <c r="G453" s="1406">
        <v>5.7390999999999996</v>
      </c>
      <c r="H453" s="1408">
        <v>0.18462200000000001</v>
      </c>
      <c r="I453" s="1408">
        <v>8.61E-4</v>
      </c>
      <c r="J453" s="1409">
        <v>11.5648</v>
      </c>
    </row>
    <row r="454" spans="2:10" x14ac:dyDescent="0.25">
      <c r="B454" s="1410" t="s">
        <v>283</v>
      </c>
      <c r="C454" s="1411">
        <v>2085</v>
      </c>
      <c r="D454" s="1410">
        <v>1092000</v>
      </c>
      <c r="E454" s="1412">
        <v>1092000</v>
      </c>
      <c r="F454" s="1413">
        <v>3971</v>
      </c>
      <c r="G454" s="1410">
        <v>5.7390999999999996</v>
      </c>
      <c r="H454" s="1412">
        <v>0.18462200000000001</v>
      </c>
      <c r="I454" s="1412">
        <v>8.61E-4</v>
      </c>
      <c r="J454" s="1413">
        <v>11.5648</v>
      </c>
    </row>
    <row r="455" spans="2:10" x14ac:dyDescent="0.25">
      <c r="B455" s="1410" t="s">
        <v>1086</v>
      </c>
      <c r="C455" s="1411">
        <v>2085</v>
      </c>
      <c r="D455" s="1410">
        <v>1092000</v>
      </c>
      <c r="E455" s="1412">
        <v>1092000</v>
      </c>
      <c r="F455" s="1413">
        <v>3971</v>
      </c>
      <c r="G455" s="1410">
        <v>5.7390999999999996</v>
      </c>
      <c r="H455" s="1412">
        <v>0.18462200000000001</v>
      </c>
      <c r="I455" s="1412">
        <v>8.61E-4</v>
      </c>
      <c r="J455" s="1413">
        <v>11.5648</v>
      </c>
    </row>
    <row r="456" spans="2:10" x14ac:dyDescent="0.25">
      <c r="B456" s="1410" t="s">
        <v>681</v>
      </c>
      <c r="C456" s="1411">
        <v>2085</v>
      </c>
      <c r="D456" s="1410">
        <v>1092000</v>
      </c>
      <c r="E456" s="1412">
        <v>1092000</v>
      </c>
      <c r="F456" s="1413">
        <v>3971</v>
      </c>
      <c r="G456" s="1410">
        <v>5.7390999999999996</v>
      </c>
      <c r="H456" s="1412">
        <v>0.18462200000000001</v>
      </c>
      <c r="I456" s="1412">
        <v>8.61E-4</v>
      </c>
      <c r="J456" s="1413">
        <v>11.5648</v>
      </c>
    </row>
    <row r="457" spans="2:10" x14ac:dyDescent="0.25">
      <c r="B457" s="1410" t="s">
        <v>682</v>
      </c>
      <c r="C457" s="1411">
        <v>2085</v>
      </c>
      <c r="D457" s="1410">
        <v>-1185000</v>
      </c>
      <c r="E457" s="1412">
        <v>0</v>
      </c>
      <c r="F457" s="1413">
        <v>0</v>
      </c>
      <c r="G457" s="1410">
        <v>-85.800000000000011</v>
      </c>
      <c r="H457" s="1412">
        <v>0.54700000000000004</v>
      </c>
      <c r="I457" s="1412">
        <v>-1.8286999999999999E-3</v>
      </c>
      <c r="J457" s="1413">
        <v>-70.08</v>
      </c>
    </row>
    <row r="458" spans="2:10" x14ac:dyDescent="0.25">
      <c r="B458" s="1410" t="s">
        <v>683</v>
      </c>
      <c r="C458" s="1411">
        <v>2085</v>
      </c>
      <c r="D458" s="1410">
        <v>1721000</v>
      </c>
      <c r="E458" s="1412">
        <v>1293000</v>
      </c>
      <c r="F458" s="1413">
        <v>15050</v>
      </c>
      <c r="G458" s="1410">
        <v>125.08</v>
      </c>
      <c r="H458" s="1412">
        <v>0.20477100000000001</v>
      </c>
      <c r="I458" s="1412">
        <v>1.7827000000000001E-3</v>
      </c>
      <c r="J458" s="1413">
        <v>129.82</v>
      </c>
    </row>
    <row r="459" spans="2:10" x14ac:dyDescent="0.25">
      <c r="B459" s="1410" t="s">
        <v>698</v>
      </c>
      <c r="C459" s="1411">
        <v>2085</v>
      </c>
      <c r="D459" s="1410">
        <v>1721000</v>
      </c>
      <c r="E459" s="1412">
        <v>1293000</v>
      </c>
      <c r="F459" s="1413">
        <v>15050</v>
      </c>
      <c r="G459" s="1410">
        <v>125.08</v>
      </c>
      <c r="H459" s="1412">
        <v>0.20477100000000001</v>
      </c>
      <c r="I459" s="1412">
        <v>1.7827000000000001E-3</v>
      </c>
      <c r="J459" s="1413">
        <v>129.82</v>
      </c>
    </row>
    <row r="460" spans="2:10" x14ac:dyDescent="0.25">
      <c r="B460" s="1410" t="s">
        <v>684</v>
      </c>
      <c r="C460" s="1411">
        <v>2085</v>
      </c>
      <c r="D460" s="1410">
        <v>1721000</v>
      </c>
      <c r="E460" s="1412">
        <v>1293000</v>
      </c>
      <c r="F460" s="1413">
        <v>15050</v>
      </c>
      <c r="G460" s="1410">
        <v>125.08</v>
      </c>
      <c r="H460" s="1412">
        <v>0.20477100000000001</v>
      </c>
      <c r="I460" s="1412">
        <v>1.7827000000000001E-3</v>
      </c>
      <c r="J460" s="1413">
        <v>129.82</v>
      </c>
    </row>
    <row r="461" spans="2:10" x14ac:dyDescent="0.25">
      <c r="B461" s="1410" t="s">
        <v>1087</v>
      </c>
      <c r="C461" s="1411">
        <v>2085</v>
      </c>
      <c r="D461" s="1410">
        <v>1022000</v>
      </c>
      <c r="E461" s="1412">
        <v>1021000</v>
      </c>
      <c r="F461" s="1413">
        <v>15510</v>
      </c>
      <c r="G461" s="1410">
        <v>1.6964999999999999</v>
      </c>
      <c r="H461" s="1412">
        <v>0.14096238999999999</v>
      </c>
      <c r="I461" s="1412">
        <v>3.2765999999999998E-5</v>
      </c>
      <c r="J461" s="1413">
        <v>5.9536999999999995</v>
      </c>
    </row>
    <row r="462" spans="2:10" x14ac:dyDescent="0.25">
      <c r="B462" s="1410" t="s">
        <v>716</v>
      </c>
      <c r="C462" s="1411">
        <v>2085</v>
      </c>
      <c r="D462" s="1410">
        <v>1022000</v>
      </c>
      <c r="E462" s="1412">
        <v>1021000</v>
      </c>
      <c r="F462" s="1413">
        <v>15510</v>
      </c>
      <c r="G462" s="1410">
        <v>1.6964999999999999</v>
      </c>
      <c r="H462" s="1412">
        <v>0.14096238999999999</v>
      </c>
      <c r="I462" s="1412">
        <v>3.2765999999999998E-5</v>
      </c>
      <c r="J462" s="1413">
        <v>5.9536999999999995</v>
      </c>
    </row>
    <row r="463" spans="2:10" x14ac:dyDescent="0.25">
      <c r="B463" s="1410" t="s">
        <v>717</v>
      </c>
      <c r="C463" s="1411">
        <v>2085</v>
      </c>
      <c r="D463" s="1410">
        <v>1022000</v>
      </c>
      <c r="E463" s="1412">
        <v>1021000</v>
      </c>
      <c r="F463" s="1413">
        <v>15510</v>
      </c>
      <c r="G463" s="1410">
        <v>1.6964999999999999</v>
      </c>
      <c r="H463" s="1412">
        <v>0.14096238999999999</v>
      </c>
      <c r="I463" s="1412">
        <v>3.2765999999999998E-5</v>
      </c>
      <c r="J463" s="1413">
        <v>5.9536999999999995</v>
      </c>
    </row>
    <row r="464" spans="2:10" x14ac:dyDescent="0.25">
      <c r="B464" s="1410" t="s">
        <v>912</v>
      </c>
      <c r="C464" s="1411">
        <v>2085</v>
      </c>
      <c r="D464" s="1410">
        <v>1209000</v>
      </c>
      <c r="E464" s="1412">
        <v>1202000</v>
      </c>
      <c r="F464" s="1413">
        <v>1052000</v>
      </c>
      <c r="G464" s="1410">
        <v>17.969000000000001</v>
      </c>
      <c r="H464" s="1412">
        <v>0.164128</v>
      </c>
      <c r="I464" s="1412">
        <v>2.9025999999999998E-4</v>
      </c>
      <c r="J464" s="1413">
        <v>22.988</v>
      </c>
    </row>
    <row r="465" spans="2:10" x14ac:dyDescent="0.25">
      <c r="B465" s="1410" t="s">
        <v>910</v>
      </c>
      <c r="C465" s="1411">
        <v>2085</v>
      </c>
      <c r="D465" s="1410">
        <v>1585000</v>
      </c>
      <c r="E465" s="1412">
        <v>696300</v>
      </c>
      <c r="F465" s="1413">
        <v>286000</v>
      </c>
      <c r="G465" s="1410">
        <v>38.049999999999997</v>
      </c>
      <c r="H465" s="1412">
        <v>0.1118</v>
      </c>
      <c r="I465" s="1412">
        <v>2.5350000000000001E-2</v>
      </c>
      <c r="J465" s="1413">
        <v>45.19</v>
      </c>
    </row>
    <row r="466" spans="2:10" x14ac:dyDescent="0.25">
      <c r="B466" s="1410" t="s">
        <v>913</v>
      </c>
      <c r="C466" s="1411">
        <v>2085</v>
      </c>
      <c r="D466" s="1410">
        <v>1249000</v>
      </c>
      <c r="E466" s="1412">
        <v>1242000</v>
      </c>
      <c r="F466" s="1413">
        <v>1078000</v>
      </c>
      <c r="G466" s="1410">
        <v>23.84</v>
      </c>
      <c r="H466" s="1412">
        <v>0.16985799999999998</v>
      </c>
      <c r="I466" s="1412">
        <v>3.7813000000000001E-4</v>
      </c>
      <c r="J466" s="1413">
        <v>29.157000000000004</v>
      </c>
    </row>
    <row r="467" spans="2:10" x14ac:dyDescent="0.25">
      <c r="B467" s="1410" t="s">
        <v>1081</v>
      </c>
      <c r="C467" s="1411">
        <v>2085</v>
      </c>
      <c r="D467" s="1410">
        <v>1190000</v>
      </c>
      <c r="E467" s="1412">
        <v>51590</v>
      </c>
      <c r="F467" s="1413">
        <v>29220</v>
      </c>
      <c r="G467" s="1410">
        <v>3.7582</v>
      </c>
      <c r="H467" s="1412">
        <v>8.4366999999999984E-3</v>
      </c>
      <c r="I467" s="1412">
        <v>-3.8261190000000002E-3</v>
      </c>
      <c r="J467" s="1413">
        <v>3.0054000000000003</v>
      </c>
    </row>
    <row r="468" spans="2:10" x14ac:dyDescent="0.25">
      <c r="B468" s="1410" t="s">
        <v>815</v>
      </c>
      <c r="C468" s="1411">
        <v>2085</v>
      </c>
      <c r="D468" s="1410">
        <v>1190000</v>
      </c>
      <c r="E468" s="1412">
        <v>51590</v>
      </c>
      <c r="F468" s="1413">
        <v>29220</v>
      </c>
      <c r="G468" s="1410">
        <v>3.7582</v>
      </c>
      <c r="H468" s="1412">
        <v>8.4366999999999984E-3</v>
      </c>
      <c r="I468" s="1412">
        <v>-3.8261190000000002E-3</v>
      </c>
      <c r="J468" s="1413">
        <v>3.0054000000000003</v>
      </c>
    </row>
    <row r="469" spans="2:10" x14ac:dyDescent="0.25">
      <c r="B469" s="1410" t="s">
        <v>824</v>
      </c>
      <c r="C469" s="1411">
        <v>2085</v>
      </c>
      <c r="D469" s="1410">
        <v>1190000</v>
      </c>
      <c r="E469" s="1412">
        <v>51590</v>
      </c>
      <c r="F469" s="1413">
        <v>29220</v>
      </c>
      <c r="G469" s="1410">
        <v>3.7582</v>
      </c>
      <c r="H469" s="1412">
        <v>8.4366999999999984E-3</v>
      </c>
      <c r="I469" s="1412">
        <v>-3.8261190000000002E-3</v>
      </c>
      <c r="J469" s="1413">
        <v>3.0054000000000003</v>
      </c>
    </row>
    <row r="470" spans="2:10" ht="13" thickBot="1" x14ac:dyDescent="0.3">
      <c r="B470" s="1414" t="s">
        <v>1088</v>
      </c>
      <c r="C470" s="1415">
        <v>2085</v>
      </c>
      <c r="D470" s="1414">
        <v>1384000</v>
      </c>
      <c r="E470" s="1416">
        <v>1383000</v>
      </c>
      <c r="F470" s="1417">
        <v>5034</v>
      </c>
      <c r="G470" s="1414">
        <v>78.571100000000001</v>
      </c>
      <c r="H470" s="1416">
        <v>0.27494000000000002</v>
      </c>
      <c r="I470" s="1416">
        <v>2.3304000000000003E-3</v>
      </c>
      <c r="J470" s="1417">
        <v>87.594300000000004</v>
      </c>
    </row>
    <row r="471" spans="2:10" x14ac:dyDescent="0.25">
      <c r="B471" s="1406" t="s">
        <v>1085</v>
      </c>
      <c r="C471" s="1407">
        <v>2090</v>
      </c>
      <c r="D471" s="1406">
        <v>1092000</v>
      </c>
      <c r="E471" s="1408">
        <v>1092000</v>
      </c>
      <c r="F471" s="1409">
        <v>3971</v>
      </c>
      <c r="G471" s="1406">
        <v>5.7390999999999996</v>
      </c>
      <c r="H471" s="1408">
        <v>0.18462200000000001</v>
      </c>
      <c r="I471" s="1408">
        <v>8.61E-4</v>
      </c>
      <c r="J471" s="1409">
        <v>11.5648</v>
      </c>
    </row>
    <row r="472" spans="2:10" x14ac:dyDescent="0.25">
      <c r="B472" s="1410" t="s">
        <v>283</v>
      </c>
      <c r="C472" s="1411">
        <v>2090</v>
      </c>
      <c r="D472" s="1410">
        <v>1092000</v>
      </c>
      <c r="E472" s="1412">
        <v>1092000</v>
      </c>
      <c r="F472" s="1413">
        <v>3971</v>
      </c>
      <c r="G472" s="1410">
        <v>5.7390999999999996</v>
      </c>
      <c r="H472" s="1412">
        <v>0.18462200000000001</v>
      </c>
      <c r="I472" s="1412">
        <v>8.61E-4</v>
      </c>
      <c r="J472" s="1413">
        <v>11.5648</v>
      </c>
    </row>
    <row r="473" spans="2:10" x14ac:dyDescent="0.25">
      <c r="B473" s="1410" t="s">
        <v>1086</v>
      </c>
      <c r="C473" s="1411">
        <v>2090</v>
      </c>
      <c r="D473" s="1410">
        <v>1092000</v>
      </c>
      <c r="E473" s="1412">
        <v>1092000</v>
      </c>
      <c r="F473" s="1413">
        <v>3971</v>
      </c>
      <c r="G473" s="1410">
        <v>5.7390999999999996</v>
      </c>
      <c r="H473" s="1412">
        <v>0.18462200000000001</v>
      </c>
      <c r="I473" s="1412">
        <v>8.61E-4</v>
      </c>
      <c r="J473" s="1413">
        <v>11.5648</v>
      </c>
    </row>
    <row r="474" spans="2:10" x14ac:dyDescent="0.25">
      <c r="B474" s="1410" t="s">
        <v>681</v>
      </c>
      <c r="C474" s="1411">
        <v>2090</v>
      </c>
      <c r="D474" s="1410">
        <v>1092000</v>
      </c>
      <c r="E474" s="1412">
        <v>1092000</v>
      </c>
      <c r="F474" s="1413">
        <v>3971</v>
      </c>
      <c r="G474" s="1410">
        <v>5.7390999999999996</v>
      </c>
      <c r="H474" s="1412">
        <v>0.18462200000000001</v>
      </c>
      <c r="I474" s="1412">
        <v>8.61E-4</v>
      </c>
      <c r="J474" s="1413">
        <v>11.5648</v>
      </c>
    </row>
    <row r="475" spans="2:10" x14ac:dyDescent="0.25">
      <c r="B475" s="1410" t="s">
        <v>682</v>
      </c>
      <c r="C475" s="1411">
        <v>2090</v>
      </c>
      <c r="D475" s="1410">
        <v>-1185000</v>
      </c>
      <c r="E475" s="1412">
        <v>0</v>
      </c>
      <c r="F475" s="1413">
        <v>0</v>
      </c>
      <c r="G475" s="1410">
        <v>-85.800000000000011</v>
      </c>
      <c r="H475" s="1412">
        <v>0.54700000000000004</v>
      </c>
      <c r="I475" s="1412">
        <v>-1.8286999999999999E-3</v>
      </c>
      <c r="J475" s="1413">
        <v>-70.08</v>
      </c>
    </row>
    <row r="476" spans="2:10" x14ac:dyDescent="0.25">
      <c r="B476" s="1410" t="s">
        <v>683</v>
      </c>
      <c r="C476" s="1411">
        <v>2090</v>
      </c>
      <c r="D476" s="1410">
        <v>1721000</v>
      </c>
      <c r="E476" s="1412">
        <v>1293000</v>
      </c>
      <c r="F476" s="1413">
        <v>15050</v>
      </c>
      <c r="G476" s="1410">
        <v>125.08</v>
      </c>
      <c r="H476" s="1412">
        <v>0.20477100000000001</v>
      </c>
      <c r="I476" s="1412">
        <v>1.7827000000000001E-3</v>
      </c>
      <c r="J476" s="1413">
        <v>129.82</v>
      </c>
    </row>
    <row r="477" spans="2:10" x14ac:dyDescent="0.25">
      <c r="B477" s="1410" t="s">
        <v>698</v>
      </c>
      <c r="C477" s="1411">
        <v>2090</v>
      </c>
      <c r="D477" s="1410">
        <v>1721000</v>
      </c>
      <c r="E477" s="1412">
        <v>1293000</v>
      </c>
      <c r="F477" s="1413">
        <v>15050</v>
      </c>
      <c r="G477" s="1410">
        <v>125.08</v>
      </c>
      <c r="H477" s="1412">
        <v>0.20477100000000001</v>
      </c>
      <c r="I477" s="1412">
        <v>1.7827000000000001E-3</v>
      </c>
      <c r="J477" s="1413">
        <v>129.82</v>
      </c>
    </row>
    <row r="478" spans="2:10" x14ac:dyDescent="0.25">
      <c r="B478" s="1410" t="s">
        <v>684</v>
      </c>
      <c r="C478" s="1411">
        <v>2090</v>
      </c>
      <c r="D478" s="1410">
        <v>1721000</v>
      </c>
      <c r="E478" s="1412">
        <v>1293000</v>
      </c>
      <c r="F478" s="1413">
        <v>15050</v>
      </c>
      <c r="G478" s="1410">
        <v>125.08</v>
      </c>
      <c r="H478" s="1412">
        <v>0.20477100000000001</v>
      </c>
      <c r="I478" s="1412">
        <v>1.7827000000000001E-3</v>
      </c>
      <c r="J478" s="1413">
        <v>129.82</v>
      </c>
    </row>
    <row r="479" spans="2:10" x14ac:dyDescent="0.25">
      <c r="B479" s="1410" t="s">
        <v>1087</v>
      </c>
      <c r="C479" s="1411">
        <v>2090</v>
      </c>
      <c r="D479" s="1410">
        <v>1022000</v>
      </c>
      <c r="E479" s="1412">
        <v>1021000</v>
      </c>
      <c r="F479" s="1413">
        <v>15510</v>
      </c>
      <c r="G479" s="1410">
        <v>1.6964999999999999</v>
      </c>
      <c r="H479" s="1412">
        <v>0.14096238999999999</v>
      </c>
      <c r="I479" s="1412">
        <v>3.2765999999999998E-5</v>
      </c>
      <c r="J479" s="1413">
        <v>5.9536999999999995</v>
      </c>
    </row>
    <row r="480" spans="2:10" x14ac:dyDescent="0.25">
      <c r="B480" s="1410" t="s">
        <v>716</v>
      </c>
      <c r="C480" s="1411">
        <v>2090</v>
      </c>
      <c r="D480" s="1410">
        <v>1022000</v>
      </c>
      <c r="E480" s="1412">
        <v>1021000</v>
      </c>
      <c r="F480" s="1413">
        <v>15510</v>
      </c>
      <c r="G480" s="1410">
        <v>1.6964999999999999</v>
      </c>
      <c r="H480" s="1412">
        <v>0.14096238999999999</v>
      </c>
      <c r="I480" s="1412">
        <v>3.2765999999999998E-5</v>
      </c>
      <c r="J480" s="1413">
        <v>5.9536999999999995</v>
      </c>
    </row>
    <row r="481" spans="2:10" x14ac:dyDescent="0.25">
      <c r="B481" s="1410" t="s">
        <v>717</v>
      </c>
      <c r="C481" s="1411">
        <v>2090</v>
      </c>
      <c r="D481" s="1410">
        <v>1022000</v>
      </c>
      <c r="E481" s="1412">
        <v>1021000</v>
      </c>
      <c r="F481" s="1413">
        <v>15510</v>
      </c>
      <c r="G481" s="1410">
        <v>1.6964999999999999</v>
      </c>
      <c r="H481" s="1412">
        <v>0.14096238999999999</v>
      </c>
      <c r="I481" s="1412">
        <v>3.2765999999999998E-5</v>
      </c>
      <c r="J481" s="1413">
        <v>5.9536999999999995</v>
      </c>
    </row>
    <row r="482" spans="2:10" x14ac:dyDescent="0.25">
      <c r="B482" s="1410" t="s">
        <v>912</v>
      </c>
      <c r="C482" s="1411">
        <v>2090</v>
      </c>
      <c r="D482" s="1410">
        <v>1209000</v>
      </c>
      <c r="E482" s="1412">
        <v>1202000</v>
      </c>
      <c r="F482" s="1413">
        <v>1052000</v>
      </c>
      <c r="G482" s="1410">
        <v>17.969000000000001</v>
      </c>
      <c r="H482" s="1412">
        <v>0.164128</v>
      </c>
      <c r="I482" s="1412">
        <v>2.9025999999999998E-4</v>
      </c>
      <c r="J482" s="1413">
        <v>22.988</v>
      </c>
    </row>
    <row r="483" spans="2:10" x14ac:dyDescent="0.25">
      <c r="B483" s="1410" t="s">
        <v>910</v>
      </c>
      <c r="C483" s="1411">
        <v>2090</v>
      </c>
      <c r="D483" s="1410">
        <v>1585000</v>
      </c>
      <c r="E483" s="1412">
        <v>696300</v>
      </c>
      <c r="F483" s="1413">
        <v>286000</v>
      </c>
      <c r="G483" s="1410">
        <v>38.049999999999997</v>
      </c>
      <c r="H483" s="1412">
        <v>0.1118</v>
      </c>
      <c r="I483" s="1412">
        <v>2.5350000000000001E-2</v>
      </c>
      <c r="J483" s="1413">
        <v>45.19</v>
      </c>
    </row>
    <row r="484" spans="2:10" x14ac:dyDescent="0.25">
      <c r="B484" s="1410" t="s">
        <v>913</v>
      </c>
      <c r="C484" s="1411">
        <v>2090</v>
      </c>
      <c r="D484" s="1410">
        <v>1249000</v>
      </c>
      <c r="E484" s="1412">
        <v>1242000</v>
      </c>
      <c r="F484" s="1413">
        <v>1078000</v>
      </c>
      <c r="G484" s="1410">
        <v>23.84</v>
      </c>
      <c r="H484" s="1412">
        <v>0.16985799999999998</v>
      </c>
      <c r="I484" s="1412">
        <v>3.7813000000000001E-4</v>
      </c>
      <c r="J484" s="1413">
        <v>29.157000000000004</v>
      </c>
    </row>
    <row r="485" spans="2:10" x14ac:dyDescent="0.25">
      <c r="B485" s="1410" t="s">
        <v>1081</v>
      </c>
      <c r="C485" s="1411">
        <v>2090</v>
      </c>
      <c r="D485" s="1410">
        <v>1190000</v>
      </c>
      <c r="E485" s="1412">
        <v>51590</v>
      </c>
      <c r="F485" s="1413">
        <v>29220</v>
      </c>
      <c r="G485" s="1410">
        <v>3.7582</v>
      </c>
      <c r="H485" s="1412">
        <v>8.4366999999999984E-3</v>
      </c>
      <c r="I485" s="1412">
        <v>-3.8261190000000002E-3</v>
      </c>
      <c r="J485" s="1413">
        <v>3.0054000000000003</v>
      </c>
    </row>
    <row r="486" spans="2:10" x14ac:dyDescent="0.25">
      <c r="B486" s="1410" t="s">
        <v>815</v>
      </c>
      <c r="C486" s="1411">
        <v>2090</v>
      </c>
      <c r="D486" s="1410">
        <v>1190000</v>
      </c>
      <c r="E486" s="1412">
        <v>51590</v>
      </c>
      <c r="F486" s="1413">
        <v>29220</v>
      </c>
      <c r="G486" s="1410">
        <v>3.7582</v>
      </c>
      <c r="H486" s="1412">
        <v>8.4366999999999984E-3</v>
      </c>
      <c r="I486" s="1412">
        <v>-3.8261190000000002E-3</v>
      </c>
      <c r="J486" s="1413">
        <v>3.0054000000000003</v>
      </c>
    </row>
    <row r="487" spans="2:10" x14ac:dyDescent="0.25">
      <c r="B487" s="1410" t="s">
        <v>824</v>
      </c>
      <c r="C487" s="1411">
        <v>2090</v>
      </c>
      <c r="D487" s="1410">
        <v>1190000</v>
      </c>
      <c r="E487" s="1412">
        <v>51590</v>
      </c>
      <c r="F487" s="1413">
        <v>29220</v>
      </c>
      <c r="G487" s="1410">
        <v>3.7582</v>
      </c>
      <c r="H487" s="1412">
        <v>8.4366999999999984E-3</v>
      </c>
      <c r="I487" s="1412">
        <v>-3.8261190000000002E-3</v>
      </c>
      <c r="J487" s="1413">
        <v>3.0054000000000003</v>
      </c>
    </row>
    <row r="488" spans="2:10" ht="13" thickBot="1" x14ac:dyDescent="0.3">
      <c r="B488" s="1414" t="s">
        <v>1088</v>
      </c>
      <c r="C488" s="1415">
        <v>2090</v>
      </c>
      <c r="D488" s="1414">
        <v>1384000</v>
      </c>
      <c r="E488" s="1416">
        <v>1383000</v>
      </c>
      <c r="F488" s="1417">
        <v>5034</v>
      </c>
      <c r="G488" s="1414">
        <v>78.571100000000001</v>
      </c>
      <c r="H488" s="1416">
        <v>0.27494000000000002</v>
      </c>
      <c r="I488" s="1416">
        <v>2.3304000000000003E-3</v>
      </c>
      <c r="J488" s="1417">
        <v>87.594300000000004</v>
      </c>
    </row>
    <row r="489" spans="2:10" x14ac:dyDescent="0.25">
      <c r="B489" s="1406" t="s">
        <v>1085</v>
      </c>
      <c r="C489" s="1407">
        <v>2095</v>
      </c>
      <c r="D489" s="1406">
        <v>1092000</v>
      </c>
      <c r="E489" s="1408">
        <v>1092000</v>
      </c>
      <c r="F489" s="1409">
        <v>3971</v>
      </c>
      <c r="G489" s="1406">
        <v>5.7390999999999996</v>
      </c>
      <c r="H489" s="1408">
        <v>0.18462200000000001</v>
      </c>
      <c r="I489" s="1408">
        <v>8.61E-4</v>
      </c>
      <c r="J489" s="1409">
        <v>11.5648</v>
      </c>
    </row>
    <row r="490" spans="2:10" x14ac:dyDescent="0.25">
      <c r="B490" s="1410" t="s">
        <v>283</v>
      </c>
      <c r="C490" s="1411">
        <v>2095</v>
      </c>
      <c r="D490" s="1410">
        <v>1092000</v>
      </c>
      <c r="E490" s="1412">
        <v>1092000</v>
      </c>
      <c r="F490" s="1413">
        <v>3971</v>
      </c>
      <c r="G490" s="1410">
        <v>5.7390999999999996</v>
      </c>
      <c r="H490" s="1412">
        <v>0.18462200000000001</v>
      </c>
      <c r="I490" s="1412">
        <v>8.61E-4</v>
      </c>
      <c r="J490" s="1413">
        <v>11.5648</v>
      </c>
    </row>
    <row r="491" spans="2:10" x14ac:dyDescent="0.25">
      <c r="B491" s="1410" t="s">
        <v>1086</v>
      </c>
      <c r="C491" s="1411">
        <v>2095</v>
      </c>
      <c r="D491" s="1410">
        <v>1092000</v>
      </c>
      <c r="E491" s="1412">
        <v>1092000</v>
      </c>
      <c r="F491" s="1413">
        <v>3971</v>
      </c>
      <c r="G491" s="1410">
        <v>5.7390999999999996</v>
      </c>
      <c r="H491" s="1412">
        <v>0.18462200000000001</v>
      </c>
      <c r="I491" s="1412">
        <v>8.61E-4</v>
      </c>
      <c r="J491" s="1413">
        <v>11.5648</v>
      </c>
    </row>
    <row r="492" spans="2:10" x14ac:dyDescent="0.25">
      <c r="B492" s="1410" t="s">
        <v>681</v>
      </c>
      <c r="C492" s="1411">
        <v>2095</v>
      </c>
      <c r="D492" s="1410">
        <v>1092000</v>
      </c>
      <c r="E492" s="1412">
        <v>1092000</v>
      </c>
      <c r="F492" s="1413">
        <v>3971</v>
      </c>
      <c r="G492" s="1410">
        <v>5.7390999999999996</v>
      </c>
      <c r="H492" s="1412">
        <v>0.18462200000000001</v>
      </c>
      <c r="I492" s="1412">
        <v>8.61E-4</v>
      </c>
      <c r="J492" s="1413">
        <v>11.5648</v>
      </c>
    </row>
    <row r="493" spans="2:10" x14ac:dyDescent="0.25">
      <c r="B493" s="1410" t="s">
        <v>682</v>
      </c>
      <c r="C493" s="1411">
        <v>2095</v>
      </c>
      <c r="D493" s="1410">
        <v>-1185000</v>
      </c>
      <c r="E493" s="1412">
        <v>0</v>
      </c>
      <c r="F493" s="1413">
        <v>0</v>
      </c>
      <c r="G493" s="1410">
        <v>-85.800000000000011</v>
      </c>
      <c r="H493" s="1412">
        <v>0.54700000000000004</v>
      </c>
      <c r="I493" s="1412">
        <v>-1.8286999999999999E-3</v>
      </c>
      <c r="J493" s="1413">
        <v>-70.08</v>
      </c>
    </row>
    <row r="494" spans="2:10" x14ac:dyDescent="0.25">
      <c r="B494" s="1410" t="s">
        <v>683</v>
      </c>
      <c r="C494" s="1411">
        <v>2095</v>
      </c>
      <c r="D494" s="1410">
        <v>1721000</v>
      </c>
      <c r="E494" s="1412">
        <v>1293000</v>
      </c>
      <c r="F494" s="1413">
        <v>15050</v>
      </c>
      <c r="G494" s="1410">
        <v>125.08</v>
      </c>
      <c r="H494" s="1412">
        <v>0.20477100000000001</v>
      </c>
      <c r="I494" s="1412">
        <v>1.7827000000000001E-3</v>
      </c>
      <c r="J494" s="1413">
        <v>129.82</v>
      </c>
    </row>
    <row r="495" spans="2:10" x14ac:dyDescent="0.25">
      <c r="B495" s="1410" t="s">
        <v>698</v>
      </c>
      <c r="C495" s="1411">
        <v>2095</v>
      </c>
      <c r="D495" s="1410">
        <v>1721000</v>
      </c>
      <c r="E495" s="1412">
        <v>1293000</v>
      </c>
      <c r="F495" s="1413">
        <v>15050</v>
      </c>
      <c r="G495" s="1410">
        <v>125.08</v>
      </c>
      <c r="H495" s="1412">
        <v>0.20477100000000001</v>
      </c>
      <c r="I495" s="1412">
        <v>1.7827000000000001E-3</v>
      </c>
      <c r="J495" s="1413">
        <v>129.82</v>
      </c>
    </row>
    <row r="496" spans="2:10" x14ac:dyDescent="0.25">
      <c r="B496" s="1410" t="s">
        <v>684</v>
      </c>
      <c r="C496" s="1411">
        <v>2095</v>
      </c>
      <c r="D496" s="1410">
        <v>1721000</v>
      </c>
      <c r="E496" s="1412">
        <v>1293000</v>
      </c>
      <c r="F496" s="1413">
        <v>15050</v>
      </c>
      <c r="G496" s="1410">
        <v>125.08</v>
      </c>
      <c r="H496" s="1412">
        <v>0.20477100000000001</v>
      </c>
      <c r="I496" s="1412">
        <v>1.7827000000000001E-3</v>
      </c>
      <c r="J496" s="1413">
        <v>129.82</v>
      </c>
    </row>
    <row r="497" spans="2:10" x14ac:dyDescent="0.25">
      <c r="B497" s="1410" t="s">
        <v>1087</v>
      </c>
      <c r="C497" s="1411">
        <v>2095</v>
      </c>
      <c r="D497" s="1410">
        <v>1022000</v>
      </c>
      <c r="E497" s="1412">
        <v>1021000</v>
      </c>
      <c r="F497" s="1413">
        <v>15510</v>
      </c>
      <c r="G497" s="1410">
        <v>1.6964999999999999</v>
      </c>
      <c r="H497" s="1412">
        <v>0.14096238999999999</v>
      </c>
      <c r="I497" s="1412">
        <v>3.2765999999999998E-5</v>
      </c>
      <c r="J497" s="1413">
        <v>5.9536999999999995</v>
      </c>
    </row>
    <row r="498" spans="2:10" x14ac:dyDescent="0.25">
      <c r="B498" s="1410" t="s">
        <v>716</v>
      </c>
      <c r="C498" s="1411">
        <v>2095</v>
      </c>
      <c r="D498" s="1410">
        <v>1022000</v>
      </c>
      <c r="E498" s="1412">
        <v>1021000</v>
      </c>
      <c r="F498" s="1413">
        <v>15510</v>
      </c>
      <c r="G498" s="1410">
        <v>1.6964999999999999</v>
      </c>
      <c r="H498" s="1412">
        <v>0.14096238999999999</v>
      </c>
      <c r="I498" s="1412">
        <v>3.2765999999999998E-5</v>
      </c>
      <c r="J498" s="1413">
        <v>5.9536999999999995</v>
      </c>
    </row>
    <row r="499" spans="2:10" x14ac:dyDescent="0.25">
      <c r="B499" s="1410" t="s">
        <v>717</v>
      </c>
      <c r="C499" s="1411">
        <v>2095</v>
      </c>
      <c r="D499" s="1410">
        <v>1022000</v>
      </c>
      <c r="E499" s="1412">
        <v>1021000</v>
      </c>
      <c r="F499" s="1413">
        <v>15510</v>
      </c>
      <c r="G499" s="1410">
        <v>1.6964999999999999</v>
      </c>
      <c r="H499" s="1412">
        <v>0.14096238999999999</v>
      </c>
      <c r="I499" s="1412">
        <v>3.2765999999999998E-5</v>
      </c>
      <c r="J499" s="1413">
        <v>5.9536999999999995</v>
      </c>
    </row>
    <row r="500" spans="2:10" x14ac:dyDescent="0.25">
      <c r="B500" s="1410" t="s">
        <v>912</v>
      </c>
      <c r="C500" s="1411">
        <v>2095</v>
      </c>
      <c r="D500" s="1410">
        <v>1209000</v>
      </c>
      <c r="E500" s="1412">
        <v>1202000</v>
      </c>
      <c r="F500" s="1413">
        <v>1052000</v>
      </c>
      <c r="G500" s="1410">
        <v>17.969000000000001</v>
      </c>
      <c r="H500" s="1412">
        <v>0.164128</v>
      </c>
      <c r="I500" s="1412">
        <v>2.9025999999999998E-4</v>
      </c>
      <c r="J500" s="1413">
        <v>22.988</v>
      </c>
    </row>
    <row r="501" spans="2:10" x14ac:dyDescent="0.25">
      <c r="B501" s="1410" t="s">
        <v>910</v>
      </c>
      <c r="C501" s="1411">
        <v>2095</v>
      </c>
      <c r="D501" s="1410">
        <v>1585000</v>
      </c>
      <c r="E501" s="1412">
        <v>696300</v>
      </c>
      <c r="F501" s="1413">
        <v>286000</v>
      </c>
      <c r="G501" s="1410">
        <v>38.049999999999997</v>
      </c>
      <c r="H501" s="1412">
        <v>0.1118</v>
      </c>
      <c r="I501" s="1412">
        <v>2.5350000000000001E-2</v>
      </c>
      <c r="J501" s="1413">
        <v>45.19</v>
      </c>
    </row>
    <row r="502" spans="2:10" x14ac:dyDescent="0.25">
      <c r="B502" s="1410" t="s">
        <v>913</v>
      </c>
      <c r="C502" s="1411">
        <v>2095</v>
      </c>
      <c r="D502" s="1410">
        <v>1249000</v>
      </c>
      <c r="E502" s="1412">
        <v>1242000</v>
      </c>
      <c r="F502" s="1413">
        <v>1078000</v>
      </c>
      <c r="G502" s="1410">
        <v>23.84</v>
      </c>
      <c r="H502" s="1412">
        <v>0.16985799999999998</v>
      </c>
      <c r="I502" s="1412">
        <v>3.7813000000000001E-4</v>
      </c>
      <c r="J502" s="1413">
        <v>29.157000000000004</v>
      </c>
    </row>
    <row r="503" spans="2:10" x14ac:dyDescent="0.25">
      <c r="B503" s="1410" t="s">
        <v>1081</v>
      </c>
      <c r="C503" s="1411">
        <v>2095</v>
      </c>
      <c r="D503" s="1410">
        <v>1190000</v>
      </c>
      <c r="E503" s="1412">
        <v>51590</v>
      </c>
      <c r="F503" s="1413">
        <v>29220</v>
      </c>
      <c r="G503" s="1410">
        <v>3.7582</v>
      </c>
      <c r="H503" s="1412">
        <v>8.4366999999999984E-3</v>
      </c>
      <c r="I503" s="1412">
        <v>-3.8261190000000002E-3</v>
      </c>
      <c r="J503" s="1413">
        <v>3.0054000000000003</v>
      </c>
    </row>
    <row r="504" spans="2:10" x14ac:dyDescent="0.25">
      <c r="B504" s="1410" t="s">
        <v>815</v>
      </c>
      <c r="C504" s="1411">
        <v>2095</v>
      </c>
      <c r="D504" s="1410">
        <v>1190000</v>
      </c>
      <c r="E504" s="1412">
        <v>51590</v>
      </c>
      <c r="F504" s="1413">
        <v>29220</v>
      </c>
      <c r="G504" s="1410">
        <v>3.7582</v>
      </c>
      <c r="H504" s="1412">
        <v>8.4366999999999984E-3</v>
      </c>
      <c r="I504" s="1412">
        <v>-3.8261190000000002E-3</v>
      </c>
      <c r="J504" s="1413">
        <v>3.0054000000000003</v>
      </c>
    </row>
    <row r="505" spans="2:10" x14ac:dyDescent="0.25">
      <c r="B505" s="1410" t="s">
        <v>824</v>
      </c>
      <c r="C505" s="1411">
        <v>2095</v>
      </c>
      <c r="D505" s="1410">
        <v>1190000</v>
      </c>
      <c r="E505" s="1412">
        <v>51590</v>
      </c>
      <c r="F505" s="1413">
        <v>29220</v>
      </c>
      <c r="G505" s="1410">
        <v>3.7582</v>
      </c>
      <c r="H505" s="1412">
        <v>8.4366999999999984E-3</v>
      </c>
      <c r="I505" s="1412">
        <v>-3.8261190000000002E-3</v>
      </c>
      <c r="J505" s="1413">
        <v>3.0054000000000003</v>
      </c>
    </row>
    <row r="506" spans="2:10" ht="13" thickBot="1" x14ac:dyDescent="0.3">
      <c r="B506" s="1414" t="s">
        <v>1088</v>
      </c>
      <c r="C506" s="1415">
        <v>2095</v>
      </c>
      <c r="D506" s="1414">
        <v>1384000</v>
      </c>
      <c r="E506" s="1416">
        <v>1383000</v>
      </c>
      <c r="F506" s="1417">
        <v>5034</v>
      </c>
      <c r="G506" s="1414">
        <v>78.571100000000001</v>
      </c>
      <c r="H506" s="1416">
        <v>0.27494000000000002</v>
      </c>
      <c r="I506" s="1416">
        <v>2.3304000000000003E-3</v>
      </c>
      <c r="J506" s="1417">
        <v>87.594300000000004</v>
      </c>
    </row>
    <row r="507" spans="2:10" x14ac:dyDescent="0.25">
      <c r="B507" s="1406" t="s">
        <v>1085</v>
      </c>
      <c r="C507" s="1407">
        <v>2100</v>
      </c>
      <c r="D507" s="1406">
        <v>1092000</v>
      </c>
      <c r="E507" s="1408">
        <v>1092000</v>
      </c>
      <c r="F507" s="1409">
        <v>3971</v>
      </c>
      <c r="G507" s="1406">
        <v>5.7390999999999996</v>
      </c>
      <c r="H507" s="1408">
        <v>0.18462200000000001</v>
      </c>
      <c r="I507" s="1408">
        <v>8.61E-4</v>
      </c>
      <c r="J507" s="1409">
        <v>11.5648</v>
      </c>
    </row>
    <row r="508" spans="2:10" x14ac:dyDescent="0.25">
      <c r="B508" s="1410" t="s">
        <v>283</v>
      </c>
      <c r="C508" s="1411">
        <v>2100</v>
      </c>
      <c r="D508" s="1410">
        <v>1092000</v>
      </c>
      <c r="E508" s="1412">
        <v>1092000</v>
      </c>
      <c r="F508" s="1413">
        <v>3971</v>
      </c>
      <c r="G508" s="1410">
        <v>5.7390999999999996</v>
      </c>
      <c r="H508" s="1412">
        <v>0.18462200000000001</v>
      </c>
      <c r="I508" s="1412">
        <v>8.61E-4</v>
      </c>
      <c r="J508" s="1413">
        <v>11.5648</v>
      </c>
    </row>
    <row r="509" spans="2:10" x14ac:dyDescent="0.25">
      <c r="B509" s="1410" t="s">
        <v>1086</v>
      </c>
      <c r="C509" s="1411">
        <v>2100</v>
      </c>
      <c r="D509" s="1410">
        <v>1092000</v>
      </c>
      <c r="E509" s="1412">
        <v>1092000</v>
      </c>
      <c r="F509" s="1413">
        <v>3971</v>
      </c>
      <c r="G509" s="1410">
        <v>5.7390999999999996</v>
      </c>
      <c r="H509" s="1412">
        <v>0.18462200000000001</v>
      </c>
      <c r="I509" s="1412">
        <v>8.61E-4</v>
      </c>
      <c r="J509" s="1413">
        <v>11.5648</v>
      </c>
    </row>
    <row r="510" spans="2:10" x14ac:dyDescent="0.25">
      <c r="B510" s="1410" t="s">
        <v>681</v>
      </c>
      <c r="C510" s="1411">
        <v>2100</v>
      </c>
      <c r="D510" s="1410">
        <v>1092000</v>
      </c>
      <c r="E510" s="1412">
        <v>1092000</v>
      </c>
      <c r="F510" s="1413">
        <v>3971</v>
      </c>
      <c r="G510" s="1410">
        <v>5.7390999999999996</v>
      </c>
      <c r="H510" s="1412">
        <v>0.18462200000000001</v>
      </c>
      <c r="I510" s="1412">
        <v>8.61E-4</v>
      </c>
      <c r="J510" s="1413">
        <v>11.5648</v>
      </c>
    </row>
    <row r="511" spans="2:10" x14ac:dyDescent="0.25">
      <c r="B511" s="1410" t="s">
        <v>682</v>
      </c>
      <c r="C511" s="1411">
        <v>2100</v>
      </c>
      <c r="D511" s="1410">
        <v>-1185000</v>
      </c>
      <c r="E511" s="1412">
        <v>0</v>
      </c>
      <c r="F511" s="1413">
        <v>0</v>
      </c>
      <c r="G511" s="1410">
        <v>-85.800000000000011</v>
      </c>
      <c r="H511" s="1412">
        <v>0.54700000000000004</v>
      </c>
      <c r="I511" s="1412">
        <v>-1.8286999999999999E-3</v>
      </c>
      <c r="J511" s="1413">
        <v>-70.08</v>
      </c>
    </row>
    <row r="512" spans="2:10" x14ac:dyDescent="0.25">
      <c r="B512" s="1410" t="s">
        <v>683</v>
      </c>
      <c r="C512" s="1411">
        <v>2100</v>
      </c>
      <c r="D512" s="1410">
        <v>1721000</v>
      </c>
      <c r="E512" s="1412">
        <v>1293000</v>
      </c>
      <c r="F512" s="1413">
        <v>15050</v>
      </c>
      <c r="G512" s="1410">
        <v>125.08</v>
      </c>
      <c r="H512" s="1412">
        <v>0.20477100000000001</v>
      </c>
      <c r="I512" s="1412">
        <v>1.7827000000000001E-3</v>
      </c>
      <c r="J512" s="1413">
        <v>129.82</v>
      </c>
    </row>
    <row r="513" spans="2:10" x14ac:dyDescent="0.25">
      <c r="B513" s="1410" t="s">
        <v>698</v>
      </c>
      <c r="C513" s="1411">
        <v>2100</v>
      </c>
      <c r="D513" s="1410">
        <v>1721000</v>
      </c>
      <c r="E513" s="1412">
        <v>1293000</v>
      </c>
      <c r="F513" s="1413">
        <v>15050</v>
      </c>
      <c r="G513" s="1410">
        <v>125.08</v>
      </c>
      <c r="H513" s="1412">
        <v>0.20477100000000001</v>
      </c>
      <c r="I513" s="1412">
        <v>1.7827000000000001E-3</v>
      </c>
      <c r="J513" s="1413">
        <v>129.82</v>
      </c>
    </row>
    <row r="514" spans="2:10" x14ac:dyDescent="0.25">
      <c r="B514" s="1410" t="s">
        <v>684</v>
      </c>
      <c r="C514" s="1411">
        <v>2100</v>
      </c>
      <c r="D514" s="1410">
        <v>1721000</v>
      </c>
      <c r="E514" s="1412">
        <v>1293000</v>
      </c>
      <c r="F514" s="1413">
        <v>15050</v>
      </c>
      <c r="G514" s="1410">
        <v>125.08</v>
      </c>
      <c r="H514" s="1412">
        <v>0.20477100000000001</v>
      </c>
      <c r="I514" s="1412">
        <v>1.7827000000000001E-3</v>
      </c>
      <c r="J514" s="1413">
        <v>129.82</v>
      </c>
    </row>
    <row r="515" spans="2:10" x14ac:dyDescent="0.25">
      <c r="B515" s="1410" t="s">
        <v>1087</v>
      </c>
      <c r="C515" s="1411">
        <v>2100</v>
      </c>
      <c r="D515" s="1410">
        <v>1022000</v>
      </c>
      <c r="E515" s="1412">
        <v>1021000</v>
      </c>
      <c r="F515" s="1413">
        <v>15510</v>
      </c>
      <c r="G515" s="1410">
        <v>1.6964999999999999</v>
      </c>
      <c r="H515" s="1412">
        <v>0.14096238999999999</v>
      </c>
      <c r="I515" s="1412">
        <v>3.2765999999999998E-5</v>
      </c>
      <c r="J515" s="1413">
        <v>5.9536999999999995</v>
      </c>
    </row>
    <row r="516" spans="2:10" x14ac:dyDescent="0.25">
      <c r="B516" s="1410" t="s">
        <v>716</v>
      </c>
      <c r="C516" s="1411">
        <v>2100</v>
      </c>
      <c r="D516" s="1410">
        <v>1022000</v>
      </c>
      <c r="E516" s="1412">
        <v>1021000</v>
      </c>
      <c r="F516" s="1413">
        <v>15510</v>
      </c>
      <c r="G516" s="1410">
        <v>1.6964999999999999</v>
      </c>
      <c r="H516" s="1412">
        <v>0.14096238999999999</v>
      </c>
      <c r="I516" s="1412">
        <v>3.2765999999999998E-5</v>
      </c>
      <c r="J516" s="1413">
        <v>5.9536999999999995</v>
      </c>
    </row>
    <row r="517" spans="2:10" x14ac:dyDescent="0.25">
      <c r="B517" s="1410" t="s">
        <v>717</v>
      </c>
      <c r="C517" s="1411">
        <v>2100</v>
      </c>
      <c r="D517" s="1410">
        <v>1022000</v>
      </c>
      <c r="E517" s="1412">
        <v>1021000</v>
      </c>
      <c r="F517" s="1413">
        <v>15510</v>
      </c>
      <c r="G517" s="1410">
        <v>1.6964999999999999</v>
      </c>
      <c r="H517" s="1412">
        <v>0.14096238999999999</v>
      </c>
      <c r="I517" s="1412">
        <v>3.2765999999999998E-5</v>
      </c>
      <c r="J517" s="1413">
        <v>5.9536999999999995</v>
      </c>
    </row>
    <row r="518" spans="2:10" x14ac:dyDescent="0.25">
      <c r="B518" s="1410" t="s">
        <v>912</v>
      </c>
      <c r="C518" s="1411">
        <v>2100</v>
      </c>
      <c r="D518" s="1410">
        <v>1209000</v>
      </c>
      <c r="E518" s="1412">
        <v>1202000</v>
      </c>
      <c r="F518" s="1413">
        <v>1052000</v>
      </c>
      <c r="G518" s="1410">
        <v>17.969000000000001</v>
      </c>
      <c r="H518" s="1412">
        <v>0.164128</v>
      </c>
      <c r="I518" s="1412">
        <v>2.9025999999999998E-4</v>
      </c>
      <c r="J518" s="1413">
        <v>22.988</v>
      </c>
    </row>
    <row r="519" spans="2:10" x14ac:dyDescent="0.25">
      <c r="B519" s="1410" t="s">
        <v>910</v>
      </c>
      <c r="C519" s="1411">
        <v>2100</v>
      </c>
      <c r="D519" s="1410">
        <v>1585000</v>
      </c>
      <c r="E519" s="1412">
        <v>696300</v>
      </c>
      <c r="F519" s="1413">
        <v>286000</v>
      </c>
      <c r="G519" s="1410">
        <v>38.049999999999997</v>
      </c>
      <c r="H519" s="1412">
        <v>0.1118</v>
      </c>
      <c r="I519" s="1412">
        <v>2.5350000000000001E-2</v>
      </c>
      <c r="J519" s="1413">
        <v>45.19</v>
      </c>
    </row>
    <row r="520" spans="2:10" x14ac:dyDescent="0.25">
      <c r="B520" s="1410" t="s">
        <v>913</v>
      </c>
      <c r="C520" s="1411">
        <v>2100</v>
      </c>
      <c r="D520" s="1410">
        <v>1249000</v>
      </c>
      <c r="E520" s="1412">
        <v>1242000</v>
      </c>
      <c r="F520" s="1413">
        <v>1078000</v>
      </c>
      <c r="G520" s="1410">
        <v>23.84</v>
      </c>
      <c r="H520" s="1412">
        <v>0.16985799999999998</v>
      </c>
      <c r="I520" s="1412">
        <v>3.7813000000000001E-4</v>
      </c>
      <c r="J520" s="1413">
        <v>29.157000000000004</v>
      </c>
    </row>
    <row r="521" spans="2:10" x14ac:dyDescent="0.25">
      <c r="B521" s="1410" t="s">
        <v>1081</v>
      </c>
      <c r="C521" s="1411">
        <v>2100</v>
      </c>
      <c r="D521" s="1410">
        <v>1190000</v>
      </c>
      <c r="E521" s="1412">
        <v>51590</v>
      </c>
      <c r="F521" s="1413">
        <v>29220</v>
      </c>
      <c r="G521" s="1410">
        <v>3.7582</v>
      </c>
      <c r="H521" s="1412">
        <v>8.4366999999999984E-3</v>
      </c>
      <c r="I521" s="1412">
        <v>-3.8261190000000002E-3</v>
      </c>
      <c r="J521" s="1413">
        <v>3.0054000000000003</v>
      </c>
    </row>
    <row r="522" spans="2:10" x14ac:dyDescent="0.25">
      <c r="B522" s="1410" t="s">
        <v>815</v>
      </c>
      <c r="C522" s="1411">
        <v>2100</v>
      </c>
      <c r="D522" s="1410">
        <v>1190000</v>
      </c>
      <c r="E522" s="1412">
        <v>51590</v>
      </c>
      <c r="F522" s="1413">
        <v>29220</v>
      </c>
      <c r="G522" s="1410">
        <v>3.7582</v>
      </c>
      <c r="H522" s="1412">
        <v>8.4366999999999984E-3</v>
      </c>
      <c r="I522" s="1412">
        <v>-3.8261190000000002E-3</v>
      </c>
      <c r="J522" s="1413">
        <v>3.0054000000000003</v>
      </c>
    </row>
    <row r="523" spans="2:10" x14ac:dyDescent="0.25">
      <c r="B523" s="1410" t="s">
        <v>824</v>
      </c>
      <c r="C523" s="1411">
        <v>2100</v>
      </c>
      <c r="D523" s="1410">
        <v>1190000</v>
      </c>
      <c r="E523" s="1412">
        <v>51590</v>
      </c>
      <c r="F523" s="1413">
        <v>29220</v>
      </c>
      <c r="G523" s="1410">
        <v>3.7582</v>
      </c>
      <c r="H523" s="1412">
        <v>8.4366999999999984E-3</v>
      </c>
      <c r="I523" s="1412">
        <v>-3.8261190000000002E-3</v>
      </c>
      <c r="J523" s="1413">
        <v>3.0054000000000003</v>
      </c>
    </row>
    <row r="524" spans="2:10" ht="13" thickBot="1" x14ac:dyDescent="0.3">
      <c r="B524" s="1414" t="s">
        <v>1088</v>
      </c>
      <c r="C524" s="1415">
        <v>2100</v>
      </c>
      <c r="D524" s="1414">
        <v>1384000</v>
      </c>
      <c r="E524" s="1416">
        <v>1383000</v>
      </c>
      <c r="F524" s="1417">
        <v>5034</v>
      </c>
      <c r="G524" s="1414">
        <v>78.571100000000001</v>
      </c>
      <c r="H524" s="1416">
        <v>0.27494000000000002</v>
      </c>
      <c r="I524" s="1416">
        <v>2.3304000000000003E-3</v>
      </c>
      <c r="J524" s="1417">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A11" sqref="A11:G57"/>
    </sheetView>
  </sheetViews>
  <sheetFormatPr defaultColWidth="9.1796875" defaultRowHeight="12.5" x14ac:dyDescent="0.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x14ac:dyDescent="0.4">
      <c r="A1" s="37" t="s">
        <v>32</v>
      </c>
    </row>
    <row r="2" spans="1:12" ht="15" customHeight="1" x14ac:dyDescent="0.25">
      <c r="A2"/>
      <c r="B2"/>
      <c r="C2"/>
      <c r="D2"/>
      <c r="E2"/>
      <c r="G2" s="39"/>
      <c r="K2" s="40"/>
      <c r="L2" s="41"/>
    </row>
    <row r="3" spans="1:12" ht="15" customHeight="1" x14ac:dyDescent="0.25">
      <c r="A3"/>
      <c r="B3"/>
      <c r="C3"/>
      <c r="D3"/>
      <c r="E3"/>
      <c r="F3" s="44"/>
      <c r="G3" s="44"/>
      <c r="H3" s="39"/>
      <c r="K3" s="40"/>
      <c r="L3" s="41"/>
    </row>
    <row r="4" spans="1:12" ht="15" customHeight="1" x14ac:dyDescent="0.25">
      <c r="A4"/>
      <c r="B4"/>
      <c r="C4"/>
      <c r="D4"/>
      <c r="E4"/>
      <c r="F4" s="44"/>
      <c r="G4" s="44"/>
      <c r="H4" s="39"/>
      <c r="K4" s="40"/>
      <c r="L4" s="41"/>
    </row>
    <row r="5" spans="1:12" ht="15" customHeight="1" x14ac:dyDescent="0.25">
      <c r="A5"/>
      <c r="B5"/>
      <c r="C5"/>
      <c r="D5"/>
      <c r="E5"/>
      <c r="G5" s="39"/>
      <c r="K5" s="45"/>
      <c r="L5" s="41"/>
    </row>
    <row r="6" spans="1:12" ht="15" customHeight="1" x14ac:dyDescent="0.25">
      <c r="A6"/>
      <c r="B6"/>
      <c r="C6"/>
      <c r="D6"/>
      <c r="E6"/>
      <c r="G6" s="39"/>
      <c r="K6" s="45"/>
      <c r="L6" s="41"/>
    </row>
    <row r="7" spans="1:12" ht="15" customHeight="1" x14ac:dyDescent="0.25">
      <c r="A7"/>
      <c r="B7"/>
      <c r="C7"/>
      <c r="D7"/>
      <c r="E7"/>
      <c r="G7" s="39"/>
      <c r="K7" s="45"/>
      <c r="L7" s="41"/>
    </row>
    <row r="8" spans="1:12" x14ac:dyDescent="0.25">
      <c r="A8"/>
      <c r="B8"/>
      <c r="C8"/>
      <c r="D8"/>
      <c r="E8"/>
    </row>
    <row r="9" spans="1:12" x14ac:dyDescent="0.25">
      <c r="A9"/>
      <c r="B9"/>
      <c r="C9"/>
      <c r="D9"/>
      <c r="E9"/>
    </row>
    <row r="10" spans="1:12" ht="13" thickBot="1" x14ac:dyDescent="0.3"/>
    <row r="11" spans="1:12" s="53" customFormat="1" ht="24.75" customHeight="1" thickTop="1" thickBot="1" x14ac:dyDescent="0.4">
      <c r="A11" s="49" t="s">
        <v>39</v>
      </c>
      <c r="B11" s="50"/>
      <c r="C11" s="51"/>
      <c r="D11" s="51"/>
      <c r="E11" s="51"/>
      <c r="F11" s="51"/>
      <c r="G11" s="52"/>
    </row>
    <row r="12" spans="1:12" s="53" customFormat="1" ht="24.75" customHeight="1" thickTop="1" thickBot="1" x14ac:dyDescent="0.4">
      <c r="A12" s="1511"/>
      <c r="B12" s="1709"/>
      <c r="C12" s="1710"/>
      <c r="D12" s="1710"/>
      <c r="E12" s="1710"/>
      <c r="F12" s="1710"/>
      <c r="G12" s="1710"/>
    </row>
    <row r="13" spans="1:12" s="53" customFormat="1" ht="21" customHeight="1" thickTop="1" x14ac:dyDescent="0.3">
      <c r="A13" s="54" t="s">
        <v>40</v>
      </c>
      <c r="B13" s="55" t="s">
        <v>41</v>
      </c>
      <c r="C13" s="56" t="s">
        <v>42</v>
      </c>
      <c r="D13" s="56" t="s">
        <v>43</v>
      </c>
      <c r="E13" s="56" t="s">
        <v>44</v>
      </c>
      <c r="F13" s="56" t="s">
        <v>45</v>
      </c>
      <c r="G13" s="57" t="s">
        <v>46</v>
      </c>
    </row>
    <row r="14" spans="1:12" s="53" customFormat="1" ht="15" customHeight="1" x14ac:dyDescent="0.25">
      <c r="A14" s="1090">
        <f>'Cash Flow Analysis'!B65</f>
        <v>1</v>
      </c>
      <c r="B14" s="1513">
        <f>IF(B13="","",IF('Cash Flow Analysis'!$B$31=0,"N/A",IF(A14=1,1,IF(A13=debt_period,"",B13+1))))</f>
        <v>1</v>
      </c>
      <c r="C14" s="1093">
        <f ca="1">IF(OR(A14="",B14="",B14="N/A"),"",IF(B14=1,-'Cash Flow Analysis'!G65,IF(B14="N/A",0,G13)))</f>
        <v>165664856.02805442</v>
      </c>
      <c r="D14" s="1093">
        <f ca="1">IF(debt_period=0,
E14+F14,
IF(OR(A14="",B14="",B14="N/A"),"",IF(B14=1,((debt_interest*(1+debt_interest)^debt_period)/((1+debt_interest)^debt_period-1))*(-'Cash Flow Analysis'!G65),IF(G13=0,"",D13))))</f>
        <v>6129599.6730380133</v>
      </c>
      <c r="E14" s="1093">
        <f t="shared" ref="E14:E57" ca="1" si="0">IF(OR(A14="",B14="",B14="N/A"),"",C14*debt_interest)</f>
        <v>6129599.6730380133</v>
      </c>
      <c r="F14" s="1093">
        <f>IF(debt_period=0,
IF(B14=(anal_period+construct),0,0),
IF(OR(A14="",B14="",B14="N/A"),"",D14-E14))</f>
        <v>0</v>
      </c>
      <c r="G14" s="1514">
        <f t="shared" ref="G14:G57" ca="1" si="1">IF(OR(A14="",B14="",B14="N/A"),"",C14-F14)</f>
        <v>165664856.02805442</v>
      </c>
    </row>
    <row r="15" spans="1:12" s="53" customFormat="1" ht="15" customHeight="1" x14ac:dyDescent="0.25">
      <c r="A15" s="1090">
        <f>'Cash Flow Analysis'!B66</f>
        <v>2</v>
      </c>
      <c r="B15" s="1513">
        <f>IF(B14="","",IF('Cash Flow Analysis'!$B$31=0,"N/A",IF(A15=1,1,IF(A14=debt_period,"",B14+1))))</f>
        <v>2</v>
      </c>
      <c r="C15" s="1093">
        <f ca="1">IF(OR(A15="",B15="",B15="N/A"),"",IF(B15=1,-'Cash Flow Analysis'!G66,IF(B15="N/A",0,G14)))</f>
        <v>165664856.02805442</v>
      </c>
      <c r="D15" s="1093">
        <f ca="1">IF(debt_period=0,
E15+F15,
IF(OR(A15="",B15="",B15="N/A"),"",IF(B15=1,((debt_interest*(1+debt_interest)^debt_period)/((1+debt_interest)^debt_period-1))*(-'Cash Flow Analysis'!G66),IF(G14=0,"",D14))))</f>
        <v>6129599.6730380133</v>
      </c>
      <c r="E15" s="1093">
        <f t="shared" ca="1" si="0"/>
        <v>6129599.6730380133</v>
      </c>
      <c r="F15" s="1093">
        <f>IF(debt_period=0,
IF(B15=(anal_period+construct),C14,0),
IF(OR(A15="",B15="",B15="N/A"),"",D15-E15))</f>
        <v>0</v>
      </c>
      <c r="G15" s="1514">
        <f t="shared" ca="1" si="1"/>
        <v>165664856.02805442</v>
      </c>
    </row>
    <row r="16" spans="1:12" s="53" customFormat="1" ht="15" customHeight="1" x14ac:dyDescent="0.25">
      <c r="A16" s="1090">
        <f>'Cash Flow Analysis'!B67</f>
        <v>3</v>
      </c>
      <c r="B16" s="1513">
        <f>IF(B15="","",IF('Cash Flow Analysis'!$B$31=0,"N/A",IF(A16=1,1,IF(A15=debt_period,"",B15+1))))</f>
        <v>3</v>
      </c>
      <c r="C16" s="1093">
        <f ca="1">IF(OR(A16="",B16="",B16="N/A"),"",IF(B16=1,-'Cash Flow Analysis'!G67,IF(B16="N/A",0,G15)))</f>
        <v>165664856.02805442</v>
      </c>
      <c r="D16" s="1093">
        <f ca="1">IF(debt_period=0,
E16+F16,
IF(OR(A16="",B16="",B16="N/A"),"",IF(B16=1,((debt_interest*(1+debt_interest)^debt_period)/((1+debt_interest)^debt_period-1))*(-'Cash Flow Analysis'!G67),IF(G15=0,"",D15))))</f>
        <v>6129599.6730380133</v>
      </c>
      <c r="E16" s="1093">
        <f t="shared" ca="1" si="0"/>
        <v>6129599.6730380133</v>
      </c>
      <c r="F16" s="1093">
        <f t="shared" ref="F16:F57" si="2">IF(debt_period=0,
IF(B16=(anal_period+construct),C16,0),
IF(OR(A16="",B16="",B16="N/A"),"",D16-E16))</f>
        <v>0</v>
      </c>
      <c r="G16" s="1514">
        <f t="shared" ca="1" si="1"/>
        <v>165664856.02805442</v>
      </c>
    </row>
    <row r="17" spans="1:7" s="53" customFormat="1" ht="15" customHeight="1" x14ac:dyDescent="0.25">
      <c r="A17" s="1090">
        <f>'Cash Flow Analysis'!B68</f>
        <v>4</v>
      </c>
      <c r="B17" s="1513">
        <f>IF(B16="","",IF('Cash Flow Analysis'!$B$31=0,"N/A",IF(A17=1,1,IF(A16=debt_period,"",B16+1))))</f>
        <v>4</v>
      </c>
      <c r="C17" s="1093">
        <f ca="1">IF(OR(A17="",B17="",B17="N/A"),"",IF(B17=1,-'Cash Flow Analysis'!G68,IF(B17="N/A",0,G16)))</f>
        <v>165664856.02805442</v>
      </c>
      <c r="D17" s="1093">
        <f ca="1">IF(debt_period=0,
E17+F17,
IF(OR(A17="",B17="",B17="N/A"),"",IF(B17=1,((debt_interest*(1+debt_interest)^debt_period)/((1+debt_interest)^debt_period-1))*(-'Cash Flow Analysis'!G68),IF(G16=0,"",D16))))</f>
        <v>6129599.6730380133</v>
      </c>
      <c r="E17" s="1093">
        <f t="shared" ca="1" si="0"/>
        <v>6129599.6730380133</v>
      </c>
      <c r="F17" s="1093">
        <f t="shared" si="2"/>
        <v>0</v>
      </c>
      <c r="G17" s="1514">
        <f t="shared" ca="1" si="1"/>
        <v>165664856.02805442</v>
      </c>
    </row>
    <row r="18" spans="1:7" s="53" customFormat="1" ht="15" customHeight="1" x14ac:dyDescent="0.25">
      <c r="A18" s="1090">
        <f>'Cash Flow Analysis'!B69</f>
        <v>5</v>
      </c>
      <c r="B18" s="1513">
        <f>IF(B17="","",IF('Cash Flow Analysis'!$B$31=0,"N/A",IF(A18=1,1,IF(A17=debt_period,"",B17+1))))</f>
        <v>5</v>
      </c>
      <c r="C18" s="1093">
        <f ca="1">IF(OR(A18="",B18="",B18="N/A"),"",IF(B18=1,-'Cash Flow Analysis'!G69,IF(B18="N/A",0,G17)))</f>
        <v>165664856.02805442</v>
      </c>
      <c r="D18" s="1093">
        <f ca="1">IF(debt_period=0,
E18+F18,
IF(OR(A18="",B18="",B18="N/A"),"",IF(B18=1,((debt_interest*(1+debt_interest)^debt_period)/((1+debt_interest)^debt_period-1))*(-'Cash Flow Analysis'!G69),IF(G17=0,"",D17))))</f>
        <v>6129599.6730380133</v>
      </c>
      <c r="E18" s="1093">
        <f t="shared" ca="1" si="0"/>
        <v>6129599.6730380133</v>
      </c>
      <c r="F18" s="1093">
        <f t="shared" si="2"/>
        <v>0</v>
      </c>
      <c r="G18" s="1514">
        <f t="shared" ca="1" si="1"/>
        <v>165664856.02805442</v>
      </c>
    </row>
    <row r="19" spans="1:7" s="53" customFormat="1" ht="15" customHeight="1" x14ac:dyDescent="0.25">
      <c r="A19" s="1090">
        <f>'Cash Flow Analysis'!B70</f>
        <v>6</v>
      </c>
      <c r="B19" s="1513">
        <f>IF(B18="","",IF('Cash Flow Analysis'!$B$31=0,"N/A",IF(A19=1,1,IF(A18=debt_period,"",B18+1))))</f>
        <v>6</v>
      </c>
      <c r="C19" s="1093">
        <f ca="1">IF(OR(A19="",B19="",B19="N/A"),"",IF(B19=1,-'Cash Flow Analysis'!G70,IF(B19="N/A",0,G18)))</f>
        <v>165664856.02805442</v>
      </c>
      <c r="D19" s="1093">
        <f ca="1">IF(debt_period=0,
E19+F19,
IF(OR(A19="",B19="",B19="N/A"),"",IF(B19=1,((debt_interest*(1+debt_interest)^debt_period)/((1+debt_interest)^debt_period-1))*(-'Cash Flow Analysis'!G70),IF(G18=0,"",D18))))</f>
        <v>6129599.6730380133</v>
      </c>
      <c r="E19" s="1093">
        <f t="shared" ca="1" si="0"/>
        <v>6129599.6730380133</v>
      </c>
      <c r="F19" s="1093">
        <f t="shared" si="2"/>
        <v>0</v>
      </c>
      <c r="G19" s="1514">
        <f t="shared" ca="1" si="1"/>
        <v>165664856.02805442</v>
      </c>
    </row>
    <row r="20" spans="1:7" s="53" customFormat="1" ht="15" customHeight="1" x14ac:dyDescent="0.25">
      <c r="A20" s="1090">
        <f>'Cash Flow Analysis'!B71</f>
        <v>7</v>
      </c>
      <c r="B20" s="1513">
        <f>IF(B19="","",IF('Cash Flow Analysis'!$B$31=0,"N/A",IF(A20=1,1,IF(A19=debt_period,"",B19+1))))</f>
        <v>7</v>
      </c>
      <c r="C20" s="1093">
        <f ca="1">IF(OR(A20="",B20="",B20="N/A"),"",IF(B20=1,-'Cash Flow Analysis'!G71,IF(B20="N/A",0,G19)))</f>
        <v>165664856.02805442</v>
      </c>
      <c r="D20" s="1093">
        <f ca="1">IF(debt_period=0,
E20+F20,
IF(OR(A20="",B20="",B20="N/A"),"",IF(B20=1,((debt_interest*(1+debt_interest)^debt_period)/((1+debt_interest)^debt_period-1))*(-'Cash Flow Analysis'!G71),IF(G19=0,"",D19))))</f>
        <v>6129599.6730380133</v>
      </c>
      <c r="E20" s="1093">
        <f t="shared" ca="1" si="0"/>
        <v>6129599.6730380133</v>
      </c>
      <c r="F20" s="1093">
        <f t="shared" si="2"/>
        <v>0</v>
      </c>
      <c r="G20" s="1514">
        <f t="shared" ca="1" si="1"/>
        <v>165664856.02805442</v>
      </c>
    </row>
    <row r="21" spans="1:7" s="53" customFormat="1" ht="15" customHeight="1" x14ac:dyDescent="0.25">
      <c r="A21" s="1090">
        <f>'Cash Flow Analysis'!B72</f>
        <v>8</v>
      </c>
      <c r="B21" s="1513">
        <f>IF(B20="","",IF('Cash Flow Analysis'!$B$31=0,"N/A",IF(A21=1,1,IF(A20=debt_period,"",B20+1))))</f>
        <v>8</v>
      </c>
      <c r="C21" s="1093">
        <f ca="1">IF(OR(A21="",B21="",B21="N/A"),"",IF(B21=1,-'Cash Flow Analysis'!G72,IF(B21="N/A",0,G20)))</f>
        <v>165664856.02805442</v>
      </c>
      <c r="D21" s="1093">
        <f ca="1">IF(debt_period=0,
E21+F21,
IF(OR(A21="",B21="",B21="N/A"),"",IF(B21=1,((debt_interest*(1+debt_interest)^debt_period)/((1+debt_interest)^debt_period-1))*(-'Cash Flow Analysis'!G72),IF(G20=0,"",D20))))</f>
        <v>6129599.6730380133</v>
      </c>
      <c r="E21" s="1093">
        <f t="shared" ca="1" si="0"/>
        <v>6129599.6730380133</v>
      </c>
      <c r="F21" s="1093">
        <f t="shared" si="2"/>
        <v>0</v>
      </c>
      <c r="G21" s="1514">
        <f t="shared" ca="1" si="1"/>
        <v>165664856.02805442</v>
      </c>
    </row>
    <row r="22" spans="1:7" s="53" customFormat="1" ht="15" customHeight="1" x14ac:dyDescent="0.25">
      <c r="A22" s="1090">
        <f>'Cash Flow Analysis'!B73</f>
        <v>9</v>
      </c>
      <c r="B22" s="1513">
        <f>IF(B21="","",IF('Cash Flow Analysis'!$B$31=0,"N/A",IF(A22=1,1,IF(A21=debt_period,"",B21+1))))</f>
        <v>9</v>
      </c>
      <c r="C22" s="1093">
        <f ca="1">IF(OR(A22="",B22="",B22="N/A"),"",IF(B22=1,-'Cash Flow Analysis'!G73,IF(B22="N/A",0,G21)))</f>
        <v>165664856.02805442</v>
      </c>
      <c r="D22" s="1093">
        <f ca="1">IF(debt_period=0,
E22+F22,
IF(OR(A22="",B22="",B22="N/A"),"",IF(B22=1,((debt_interest*(1+debt_interest)^debt_period)/((1+debt_interest)^debt_period-1))*(-'Cash Flow Analysis'!G73),IF(G21=0,"",D21))))</f>
        <v>6129599.6730380133</v>
      </c>
      <c r="E22" s="1093">
        <f t="shared" ca="1" si="0"/>
        <v>6129599.6730380133</v>
      </c>
      <c r="F22" s="1093">
        <f t="shared" si="2"/>
        <v>0</v>
      </c>
      <c r="G22" s="1514">
        <f t="shared" ca="1" si="1"/>
        <v>165664856.02805442</v>
      </c>
    </row>
    <row r="23" spans="1:7" s="53" customFormat="1" ht="15" customHeight="1" x14ac:dyDescent="0.25">
      <c r="A23" s="1090">
        <f>'Cash Flow Analysis'!B74</f>
        <v>10</v>
      </c>
      <c r="B23" s="1513">
        <f>IF(B22="","",IF('Cash Flow Analysis'!$B$31=0,"N/A",IF(A23=1,1,IF(A22=debt_period,"",B22+1))))</f>
        <v>10</v>
      </c>
      <c r="C23" s="1093">
        <f ca="1">IF(OR(A23="",B23="",B23="N/A"),"",IF(B23=1,-'Cash Flow Analysis'!G74,IF(B23="N/A",0,G22)))</f>
        <v>165664856.02805442</v>
      </c>
      <c r="D23" s="1093">
        <f ca="1">IF(debt_period=0,
E23+F23,
IF(OR(A23="",B23="",B23="N/A"),"",IF(B23=1,((debt_interest*(1+debt_interest)^debt_period)/((1+debt_interest)^debt_period-1))*(-'Cash Flow Analysis'!G74),IF(G22=0,"",D22))))</f>
        <v>6129599.6730380133</v>
      </c>
      <c r="E23" s="1093">
        <f t="shared" ca="1" si="0"/>
        <v>6129599.6730380133</v>
      </c>
      <c r="F23" s="1093">
        <f t="shared" si="2"/>
        <v>0</v>
      </c>
      <c r="G23" s="1514">
        <f t="shared" ca="1" si="1"/>
        <v>165664856.02805442</v>
      </c>
    </row>
    <row r="24" spans="1:7" s="53" customFormat="1" ht="15" customHeight="1" x14ac:dyDescent="0.25">
      <c r="A24" s="1090">
        <f>'Cash Flow Analysis'!B75</f>
        <v>11</v>
      </c>
      <c r="B24" s="1513">
        <f>IF(B23="","",IF('Cash Flow Analysis'!$B$31=0,"N/A",IF(A24=1,1,IF(A23=debt_period,"",B23+1))))</f>
        <v>11</v>
      </c>
      <c r="C24" s="1093">
        <f ca="1">IF(OR(A24="",B24="",B24="N/A"),"",IF(B24=1,-'Cash Flow Analysis'!G75,IF(B24="N/A",0,G23)))</f>
        <v>165664856.02805442</v>
      </c>
      <c r="D24" s="1093">
        <f ca="1">IF(debt_period=0,
E24+F24,
IF(OR(A24="",B24="",B24="N/A"),"",IF(B24=1,((debt_interest*(1+debt_interest)^debt_period)/((1+debt_interest)^debt_period-1))*(-'Cash Flow Analysis'!G75),IF(G23=0,"",D23))))</f>
        <v>6129599.6730380133</v>
      </c>
      <c r="E24" s="1093">
        <f t="shared" ca="1" si="0"/>
        <v>6129599.6730380133</v>
      </c>
      <c r="F24" s="1093">
        <f t="shared" si="2"/>
        <v>0</v>
      </c>
      <c r="G24" s="1514">
        <f t="shared" ca="1" si="1"/>
        <v>165664856.02805442</v>
      </c>
    </row>
    <row r="25" spans="1:7" s="53" customFormat="1" ht="15" customHeight="1" x14ac:dyDescent="0.25">
      <c r="A25" s="1090">
        <f>'Cash Flow Analysis'!B76</f>
        <v>12</v>
      </c>
      <c r="B25" s="1513">
        <f>IF(B24="","",IF('Cash Flow Analysis'!$B$31=0,"N/A",IF(A25=1,1,IF(A24=debt_period,"",B24+1))))</f>
        <v>12</v>
      </c>
      <c r="C25" s="1093">
        <f ca="1">IF(OR(A25="",B25="",B25="N/A"),"",IF(B25=1,-'Cash Flow Analysis'!G76,IF(B25="N/A",0,G24)))</f>
        <v>165664856.02805442</v>
      </c>
      <c r="D25" s="1093">
        <f ca="1">IF(debt_period=0,
E25+F25,
IF(OR(A25="",B25="",B25="N/A"),"",IF(B25=1,((debt_interest*(1+debt_interest)^debt_period)/((1+debt_interest)^debt_period-1))*(-'Cash Flow Analysis'!G76),IF(G24=0,"",D24))))</f>
        <v>6129599.6730380133</v>
      </c>
      <c r="E25" s="1093">
        <f t="shared" ca="1" si="0"/>
        <v>6129599.6730380133</v>
      </c>
      <c r="F25" s="1093">
        <f t="shared" si="2"/>
        <v>0</v>
      </c>
      <c r="G25" s="1514">
        <f t="shared" ca="1" si="1"/>
        <v>165664856.02805442</v>
      </c>
    </row>
    <row r="26" spans="1:7" s="53" customFormat="1" ht="15" customHeight="1" x14ac:dyDescent="0.25">
      <c r="A26" s="1090">
        <f>'Cash Flow Analysis'!B77</f>
        <v>13</v>
      </c>
      <c r="B26" s="1513">
        <f>IF(B25="","",IF('Cash Flow Analysis'!$B$31=0,"N/A",IF(A26=1,1,IF(A25=debt_period,"",B25+1))))</f>
        <v>13</v>
      </c>
      <c r="C26" s="1093">
        <f ca="1">IF(OR(A26="",B26="",B26="N/A"),"",IF(B26=1,-'Cash Flow Analysis'!G77,IF(B26="N/A",0,G25)))</f>
        <v>165664856.02805442</v>
      </c>
      <c r="D26" s="1093">
        <f ca="1">IF(debt_period=0,
E26+F26,
IF(OR(A26="",B26="",B26="N/A"),"",IF(B26=1,((debt_interest*(1+debt_interest)^debt_period)/((1+debt_interest)^debt_period-1))*(-'Cash Flow Analysis'!G77),IF(G25=0,"",D25))))</f>
        <v>6129599.6730380133</v>
      </c>
      <c r="E26" s="1093">
        <f t="shared" ca="1" si="0"/>
        <v>6129599.6730380133</v>
      </c>
      <c r="F26" s="1093">
        <f t="shared" si="2"/>
        <v>0</v>
      </c>
      <c r="G26" s="1514">
        <f t="shared" ca="1" si="1"/>
        <v>165664856.02805442</v>
      </c>
    </row>
    <row r="27" spans="1:7" s="53" customFormat="1" ht="15" customHeight="1" x14ac:dyDescent="0.25">
      <c r="A27" s="1090">
        <f>'Cash Flow Analysis'!B78</f>
        <v>14</v>
      </c>
      <c r="B27" s="1513">
        <f>IF(B26="","",IF('Cash Flow Analysis'!$B$31=0,"N/A",IF(A27=1,1,IF(A26=debt_period,"",B26+1))))</f>
        <v>14</v>
      </c>
      <c r="C27" s="1093">
        <f ca="1">IF(OR(A27="",B27="",B27="N/A"),"",IF(B27=1,-'Cash Flow Analysis'!G78,IF(B27="N/A",0,G26)))</f>
        <v>165664856.02805442</v>
      </c>
      <c r="D27" s="1093">
        <f ca="1">IF(debt_period=0,
E27+F27,
IF(OR(A27="",B27="",B27="N/A"),"",IF(B27=1,((debt_interest*(1+debt_interest)^debt_period)/((1+debt_interest)^debt_period-1))*(-'Cash Flow Analysis'!G78),IF(G26=0,"",D26))))</f>
        <v>6129599.6730380133</v>
      </c>
      <c r="E27" s="1093">
        <f t="shared" ca="1" si="0"/>
        <v>6129599.6730380133</v>
      </c>
      <c r="F27" s="1093">
        <f t="shared" si="2"/>
        <v>0</v>
      </c>
      <c r="G27" s="1514">
        <f t="shared" ca="1" si="1"/>
        <v>165664856.02805442</v>
      </c>
    </row>
    <row r="28" spans="1:7" s="53" customFormat="1" ht="15" customHeight="1" x14ac:dyDescent="0.25">
      <c r="A28" s="1090">
        <f>'Cash Flow Analysis'!B79</f>
        <v>15</v>
      </c>
      <c r="B28" s="1513">
        <f>IF(B27="","",IF('Cash Flow Analysis'!$B$31=0,"N/A",IF(A28=1,1,IF(A27=debt_period,"",B27+1))))</f>
        <v>15</v>
      </c>
      <c r="C28" s="1093">
        <f ca="1">IF(OR(A28="",B28="",B28="N/A"),"",IF(B28=1,-'Cash Flow Analysis'!G79,IF(B28="N/A",0,G27)))</f>
        <v>165664856.02805442</v>
      </c>
      <c r="D28" s="1093">
        <f ca="1">IF(debt_period=0,
E28+F28,
IF(OR(A28="",B28="",B28="N/A"),"",IF(B28=1,((debt_interest*(1+debt_interest)^debt_period)/((1+debt_interest)^debt_period-1))*(-'Cash Flow Analysis'!G79),IF(G27=0,"",D27))))</f>
        <v>6129599.6730380133</v>
      </c>
      <c r="E28" s="1093">
        <f t="shared" ca="1" si="0"/>
        <v>6129599.6730380133</v>
      </c>
      <c r="F28" s="1093">
        <f t="shared" si="2"/>
        <v>0</v>
      </c>
      <c r="G28" s="1514">
        <f t="shared" ca="1" si="1"/>
        <v>165664856.02805442</v>
      </c>
    </row>
    <row r="29" spans="1:7" s="53" customFormat="1" ht="15" customHeight="1" x14ac:dyDescent="0.25">
      <c r="A29" s="1090">
        <f>'Cash Flow Analysis'!B80</f>
        <v>16</v>
      </c>
      <c r="B29" s="1513">
        <f>IF(B28="","",IF('Cash Flow Analysis'!$B$31=0,"N/A",IF(A29=1,1,IF(A28=debt_period,"",B28+1))))</f>
        <v>16</v>
      </c>
      <c r="C29" s="1093">
        <f ca="1">IF(OR(A29="",B29="",B29="N/A"),"",IF(B29=1,-'Cash Flow Analysis'!G80,IF(B29="N/A",0,G28)))</f>
        <v>165664856.02805442</v>
      </c>
      <c r="D29" s="1093">
        <f ca="1">IF(debt_period=0,
E29+F29,
IF(OR(A29="",B29="",B29="N/A"),"",IF(B29=1,((debt_interest*(1+debt_interest)^debt_period)/((1+debt_interest)^debt_period-1))*(-'Cash Flow Analysis'!G80),IF(G28=0,"",D28))))</f>
        <v>6129599.6730380133</v>
      </c>
      <c r="E29" s="1093">
        <f t="shared" ca="1" si="0"/>
        <v>6129599.6730380133</v>
      </c>
      <c r="F29" s="1093">
        <f t="shared" si="2"/>
        <v>0</v>
      </c>
      <c r="G29" s="1514">
        <f t="shared" ca="1" si="1"/>
        <v>165664856.02805442</v>
      </c>
    </row>
    <row r="30" spans="1:7" s="53" customFormat="1" ht="15" customHeight="1" x14ac:dyDescent="0.25">
      <c r="A30" s="1090">
        <f>'Cash Flow Analysis'!B81</f>
        <v>17</v>
      </c>
      <c r="B30" s="1513">
        <f>IF(B29="","",IF('Cash Flow Analysis'!$B$31=0,"N/A",IF(A30=1,1,IF(A29=debt_period,"",B29+1))))</f>
        <v>17</v>
      </c>
      <c r="C30" s="1093">
        <f ca="1">IF(OR(A30="",B30="",B30="N/A"),"",IF(B30=1,-'Cash Flow Analysis'!G81,IF(B30="N/A",0,G29)))</f>
        <v>165664856.02805442</v>
      </c>
      <c r="D30" s="1093">
        <f ca="1">IF(debt_period=0,
E30+F30,
IF(OR(A30="",B30="",B30="N/A"),"",IF(B30=1,((debt_interest*(1+debt_interest)^debt_period)/((1+debt_interest)^debt_period-1))*(-'Cash Flow Analysis'!G81),IF(G29=0,"",D29))))</f>
        <v>6129599.6730380133</v>
      </c>
      <c r="E30" s="1093">
        <f t="shared" ca="1" si="0"/>
        <v>6129599.6730380133</v>
      </c>
      <c r="F30" s="1093">
        <f t="shared" si="2"/>
        <v>0</v>
      </c>
      <c r="G30" s="1514">
        <f t="shared" ca="1" si="1"/>
        <v>165664856.02805442</v>
      </c>
    </row>
    <row r="31" spans="1:7" s="53" customFormat="1" ht="15" customHeight="1" x14ac:dyDescent="0.25">
      <c r="A31" s="1090">
        <f>'Cash Flow Analysis'!B82</f>
        <v>18</v>
      </c>
      <c r="B31" s="1513">
        <f>IF(B30="","",IF('Cash Flow Analysis'!$B$31=0,"N/A",IF(A31=1,1,IF(A30=debt_period,"",B30+1))))</f>
        <v>18</v>
      </c>
      <c r="C31" s="1093">
        <f ca="1">IF(OR(A31="",B31="",B31="N/A"),"",IF(B31=1,-'Cash Flow Analysis'!G82,IF(B31="N/A",0,G30)))</f>
        <v>165664856.02805442</v>
      </c>
      <c r="D31" s="1093">
        <f ca="1">IF(debt_period=0,
E31+F31,
IF(OR(A31="",B31="",B31="N/A"),"",IF(B31=1,((debt_interest*(1+debt_interest)^debt_period)/((1+debt_interest)^debt_period-1))*(-'Cash Flow Analysis'!G82),IF(G30=0,"",D30))))</f>
        <v>6129599.6730380133</v>
      </c>
      <c r="E31" s="1093">
        <f t="shared" ca="1" si="0"/>
        <v>6129599.6730380133</v>
      </c>
      <c r="F31" s="1093">
        <f t="shared" si="2"/>
        <v>0</v>
      </c>
      <c r="G31" s="1514">
        <f t="shared" ca="1" si="1"/>
        <v>165664856.02805442</v>
      </c>
    </row>
    <row r="32" spans="1:7" s="53" customFormat="1" ht="15" customHeight="1" x14ac:dyDescent="0.25">
      <c r="A32" s="1090">
        <f>'Cash Flow Analysis'!B83</f>
        <v>19</v>
      </c>
      <c r="B32" s="1513">
        <f>IF(B31="","",IF('Cash Flow Analysis'!$B$31=0,"N/A",IF(A32=1,1,IF(A31=debt_period,"",B31+1))))</f>
        <v>19</v>
      </c>
      <c r="C32" s="1093">
        <f ca="1">IF(OR(A32="",B32="",B32="N/A"),"",IF(B32=1,-'Cash Flow Analysis'!G83,IF(B32="N/A",0,G31)))</f>
        <v>165664856.02805442</v>
      </c>
      <c r="D32" s="1093">
        <f ca="1">IF(debt_period=0,
E32+F32,
IF(OR(A32="",B32="",B32="N/A"),"",IF(B32=1,((debt_interest*(1+debt_interest)^debt_period)/((1+debt_interest)^debt_period-1))*(-'Cash Flow Analysis'!G83),IF(G31=0,"",D31))))</f>
        <v>6129599.6730380133</v>
      </c>
      <c r="E32" s="1093">
        <f t="shared" ca="1" si="0"/>
        <v>6129599.6730380133</v>
      </c>
      <c r="F32" s="1093">
        <f t="shared" si="2"/>
        <v>0</v>
      </c>
      <c r="G32" s="1514">
        <f t="shared" ca="1" si="1"/>
        <v>165664856.02805442</v>
      </c>
    </row>
    <row r="33" spans="1:7" s="53" customFormat="1" ht="15" customHeight="1" x14ac:dyDescent="0.25">
      <c r="A33" s="1090">
        <f>'Cash Flow Analysis'!B84</f>
        <v>20</v>
      </c>
      <c r="B33" s="1513">
        <f>IF(B32="","",IF('Cash Flow Analysis'!$B$31=0,"N/A",IF(A33=1,1,IF(A32=debt_period,"",B32+1))))</f>
        <v>20</v>
      </c>
      <c r="C33" s="1093">
        <f ca="1">IF(OR(A33="",B33="",B33="N/A"),"",IF(B33=1,-'Cash Flow Analysis'!G84,IF(B33="N/A",0,G32)))</f>
        <v>165664856.02805442</v>
      </c>
      <c r="D33" s="1093">
        <f ca="1">IF(debt_period=0,
E33+F33,
IF(OR(A33="",B33="",B33="N/A"),"",IF(B33=1,((debt_interest*(1+debt_interest)^debt_period)/((1+debt_interest)^debt_period-1))*(-'Cash Flow Analysis'!G84),IF(G32=0,"",D32))))</f>
        <v>6129599.6730380133</v>
      </c>
      <c r="E33" s="1093">
        <f t="shared" ca="1" si="0"/>
        <v>6129599.6730380133</v>
      </c>
      <c r="F33" s="1093">
        <f t="shared" si="2"/>
        <v>0</v>
      </c>
      <c r="G33" s="1514">
        <f t="shared" ca="1" si="1"/>
        <v>165664856.02805442</v>
      </c>
    </row>
    <row r="34" spans="1:7" s="53" customFormat="1" ht="15" customHeight="1" x14ac:dyDescent="0.25">
      <c r="A34" s="1090">
        <f>'Cash Flow Analysis'!B85</f>
        <v>21</v>
      </c>
      <c r="B34" s="1513">
        <f>IF(B33="","",IF('Cash Flow Analysis'!$B$31=0,"N/A",IF(A34=1,1,IF(A33=debt_period,"",B33+1))))</f>
        <v>21</v>
      </c>
      <c r="C34" s="1093">
        <f ca="1">IF(OR(A34="",B34="",B34="N/A"),"",IF(B34=1,-'Cash Flow Analysis'!G85,IF(B34="N/A",0,G33)))</f>
        <v>165664856.02805442</v>
      </c>
      <c r="D34" s="1093">
        <f ca="1">IF(debt_period=0,
E34+F34,
IF(OR(A34="",B34="",B34="N/A"),"",IF(B34=1,((debt_interest*(1+debt_interest)^debt_period)/((1+debt_interest)^debt_period-1))*(-'Cash Flow Analysis'!G85),IF(G33=0,"",D33))))</f>
        <v>6129599.6730380133</v>
      </c>
      <c r="E34" s="1093">
        <f t="shared" ca="1" si="0"/>
        <v>6129599.6730380133</v>
      </c>
      <c r="F34" s="1093">
        <f t="shared" si="2"/>
        <v>0</v>
      </c>
      <c r="G34" s="1514">
        <f t="shared" ca="1" si="1"/>
        <v>165664856.02805442</v>
      </c>
    </row>
    <row r="35" spans="1:7" s="53" customFormat="1" ht="15" customHeight="1" x14ac:dyDescent="0.25">
      <c r="A35" s="1090">
        <f>'Cash Flow Analysis'!B86</f>
        <v>22</v>
      </c>
      <c r="B35" s="1513">
        <f>IF(B34="","",IF('Cash Flow Analysis'!$B$31=0,"N/A",IF(A35=1,1,IF(A34=debt_period,"",B34+1))))</f>
        <v>22</v>
      </c>
      <c r="C35" s="1093">
        <f ca="1">IF(OR(A35="",B35="",B35="N/A"),"",IF(B35=1,-'Cash Flow Analysis'!G86,IF(B35="N/A",0,G34)))</f>
        <v>165664856.02805442</v>
      </c>
      <c r="D35" s="1093">
        <f ca="1">IF(debt_period=0,
E35+F35,
IF(OR(A35="",B35="",B35="N/A"),"",IF(B35=1,((debt_interest*(1+debt_interest)^debt_period)/((1+debt_interest)^debt_period-1))*(-'Cash Flow Analysis'!G86),IF(G34=0,"",D34))))</f>
        <v>6129599.6730380133</v>
      </c>
      <c r="E35" s="1093">
        <f t="shared" ca="1" si="0"/>
        <v>6129599.6730380133</v>
      </c>
      <c r="F35" s="1093">
        <f t="shared" si="2"/>
        <v>0</v>
      </c>
      <c r="G35" s="1514">
        <f t="shared" ca="1" si="1"/>
        <v>165664856.02805442</v>
      </c>
    </row>
    <row r="36" spans="1:7" s="53" customFormat="1" ht="15" customHeight="1" x14ac:dyDescent="0.25">
      <c r="A36" s="1090">
        <f>'Cash Flow Analysis'!B87</f>
        <v>23</v>
      </c>
      <c r="B36" s="1513">
        <f>IF(B35="","",IF('Cash Flow Analysis'!$B$31=0,"N/A",IF(A36=1,1,IF(A35=debt_period,"",B35+1))))</f>
        <v>23</v>
      </c>
      <c r="C36" s="1093">
        <f ca="1">IF(OR(A36="",B36="",B36="N/A"),"",IF(B36=1,-'Cash Flow Analysis'!G87,IF(B36="N/A",0,G35)))</f>
        <v>165664856.02805442</v>
      </c>
      <c r="D36" s="1093">
        <f ca="1">IF(debt_period=0,
E36+F36,
IF(OR(A36="",B36="",B36="N/A"),"",IF(B36=1,((debt_interest*(1+debt_interest)^debt_period)/((1+debt_interest)^debt_period-1))*(-'Cash Flow Analysis'!G87),IF(G35=0,"",D35))))</f>
        <v>6129599.6730380133</v>
      </c>
      <c r="E36" s="1093">
        <f t="shared" ca="1" si="0"/>
        <v>6129599.6730380133</v>
      </c>
      <c r="F36" s="1093">
        <f t="shared" si="2"/>
        <v>0</v>
      </c>
      <c r="G36" s="1514">
        <f t="shared" ca="1" si="1"/>
        <v>165664856.02805442</v>
      </c>
    </row>
    <row r="37" spans="1:7" s="53" customFormat="1" ht="15" customHeight="1" x14ac:dyDescent="0.25">
      <c r="A37" s="1090">
        <f>'Cash Flow Analysis'!B88</f>
        <v>24</v>
      </c>
      <c r="B37" s="1513">
        <f>IF(B36="","",IF('Cash Flow Analysis'!$B$31=0,"N/A",IF(A37=1,1,IF(A36=debt_period,"",B36+1))))</f>
        <v>24</v>
      </c>
      <c r="C37" s="1093">
        <f ca="1">IF(OR(A37="",B37="",B37="N/A"),"",IF(B37=1,-'Cash Flow Analysis'!G88,IF(B37="N/A",0,G36)))</f>
        <v>165664856.02805442</v>
      </c>
      <c r="D37" s="1093">
        <f ca="1">IF(debt_period=0,
E37+F37,
IF(OR(A37="",B37="",B37="N/A"),"",IF(B37=1,((debt_interest*(1+debt_interest)^debt_period)/((1+debt_interest)^debt_period-1))*(-'Cash Flow Analysis'!G88),IF(G36=0,"",D36))))</f>
        <v>6129599.6730380133</v>
      </c>
      <c r="E37" s="1093">
        <f t="shared" ca="1" si="0"/>
        <v>6129599.6730380133</v>
      </c>
      <c r="F37" s="1093">
        <f t="shared" si="2"/>
        <v>0</v>
      </c>
      <c r="G37" s="1514">
        <f t="shared" ca="1" si="1"/>
        <v>165664856.02805442</v>
      </c>
    </row>
    <row r="38" spans="1:7" s="53" customFormat="1" ht="15" customHeight="1" x14ac:dyDescent="0.25">
      <c r="A38" s="1090">
        <f>'Cash Flow Analysis'!B89</f>
        <v>25</v>
      </c>
      <c r="B38" s="1513">
        <f>IF(B37="","",IF('Cash Flow Analysis'!$B$31=0,"N/A",IF(A38=1,1,IF(A37=debt_period,"",B37+1))))</f>
        <v>25</v>
      </c>
      <c r="C38" s="1093">
        <f ca="1">IF(OR(A38="",B38="",B38="N/A"),"",IF(B38=1,-'Cash Flow Analysis'!G89,IF(B38="N/A",0,G37)))</f>
        <v>165664856.02805442</v>
      </c>
      <c r="D38" s="1093">
        <f ca="1">IF(debt_period=0,
E38+F38,
IF(OR(A38="",B38="",B38="N/A"),"",IF(B38=1,((debt_interest*(1+debt_interest)^debt_period)/((1+debt_interest)^debt_period-1))*(-'Cash Flow Analysis'!G89),IF(G37=0,"",D37))))</f>
        <v>6129599.6730380133</v>
      </c>
      <c r="E38" s="1093">
        <f t="shared" ca="1" si="0"/>
        <v>6129599.6730380133</v>
      </c>
      <c r="F38" s="1093">
        <f t="shared" si="2"/>
        <v>0</v>
      </c>
      <c r="G38" s="1514">
        <f t="shared" ca="1" si="1"/>
        <v>165664856.02805442</v>
      </c>
    </row>
    <row r="39" spans="1:7" s="53" customFormat="1" ht="15" customHeight="1" x14ac:dyDescent="0.25">
      <c r="A39" s="1090">
        <f>'Cash Flow Analysis'!B90</f>
        <v>26</v>
      </c>
      <c r="B39" s="1513">
        <f>IF(B38="","",IF('Cash Flow Analysis'!$B$31=0,"N/A",IF(A39=1,1,IF(A38=debt_period,"",B38+1))))</f>
        <v>26</v>
      </c>
      <c r="C39" s="1093">
        <f ca="1">IF(OR(A39="",B39="",B39="N/A"),"",IF(B39=1,-'Cash Flow Analysis'!G90,IF(B39="N/A",0,G38)))</f>
        <v>165664856.02805442</v>
      </c>
      <c r="D39" s="1093">
        <f ca="1">IF(debt_period=0,
E39+F39,
IF(OR(A39="",B39="",B39="N/A"),"",IF(B39=1,((debt_interest*(1+debt_interest)^debt_period)/((1+debt_interest)^debt_period-1))*(-'Cash Flow Analysis'!G90),IF(G38=0,"",D38))))</f>
        <v>6129599.6730380133</v>
      </c>
      <c r="E39" s="1093">
        <f t="shared" ca="1" si="0"/>
        <v>6129599.6730380133</v>
      </c>
      <c r="F39" s="1093">
        <f t="shared" si="2"/>
        <v>0</v>
      </c>
      <c r="G39" s="1514">
        <f t="shared" ca="1" si="1"/>
        <v>165664856.02805442</v>
      </c>
    </row>
    <row r="40" spans="1:7" s="53" customFormat="1" ht="15" customHeight="1" x14ac:dyDescent="0.25">
      <c r="A40" s="1090">
        <f>'Cash Flow Analysis'!B91</f>
        <v>27</v>
      </c>
      <c r="B40" s="1513">
        <f>IF(B39="","",IF('Cash Flow Analysis'!$B$31=0,"N/A",IF(A40=1,1,IF(A39=debt_period,"",B39+1))))</f>
        <v>27</v>
      </c>
      <c r="C40" s="1093">
        <f ca="1">IF(OR(A40="",B40="",B40="N/A"),"",IF(B40=1,-'Cash Flow Analysis'!G91,IF(B40="N/A",0,G39)))</f>
        <v>165664856.02805442</v>
      </c>
      <c r="D40" s="1093">
        <f ca="1">IF(debt_period=0,
E40+F40,
IF(OR(A40="",B40="",B40="N/A"),"",IF(B40=1,((debt_interest*(1+debt_interest)^debt_period)/((1+debt_interest)^debt_period-1))*(-'Cash Flow Analysis'!G91),IF(G39=0,"",D39))))</f>
        <v>6129599.6730380133</v>
      </c>
      <c r="E40" s="1093">
        <f t="shared" ca="1" si="0"/>
        <v>6129599.6730380133</v>
      </c>
      <c r="F40" s="1093">
        <f t="shared" si="2"/>
        <v>0</v>
      </c>
      <c r="G40" s="1514">
        <f t="shared" ca="1" si="1"/>
        <v>165664856.02805442</v>
      </c>
    </row>
    <row r="41" spans="1:7" s="53" customFormat="1" ht="15" customHeight="1" x14ac:dyDescent="0.25">
      <c r="A41" s="1090">
        <f>'Cash Flow Analysis'!B92</f>
        <v>28</v>
      </c>
      <c r="B41" s="1513">
        <f>IF(B40="","",IF('Cash Flow Analysis'!$B$31=0,"N/A",IF(A41=1,1,IF(A40=debt_period,"",B40+1))))</f>
        <v>28</v>
      </c>
      <c r="C41" s="1093">
        <f ca="1">IF(OR(A41="",B41="",B41="N/A"),"",IF(B41=1,-'Cash Flow Analysis'!G92,IF(B41="N/A",0,G40)))</f>
        <v>165664856.02805442</v>
      </c>
      <c r="D41" s="1093">
        <f ca="1">IF(debt_period=0,
E41+F41,
IF(OR(A41="",B41="",B41="N/A"),"",IF(B41=1,((debt_interest*(1+debt_interest)^debt_period)/((1+debt_interest)^debt_period-1))*(-'Cash Flow Analysis'!G92),IF(G40=0,"",D40))))</f>
        <v>6129599.6730380133</v>
      </c>
      <c r="E41" s="1093">
        <f t="shared" ca="1" si="0"/>
        <v>6129599.6730380133</v>
      </c>
      <c r="F41" s="1093">
        <f t="shared" si="2"/>
        <v>0</v>
      </c>
      <c r="G41" s="1514">
        <f t="shared" ca="1" si="1"/>
        <v>165664856.02805442</v>
      </c>
    </row>
    <row r="42" spans="1:7" s="53" customFormat="1" ht="15" customHeight="1" x14ac:dyDescent="0.25">
      <c r="A42" s="1090">
        <f>'Cash Flow Analysis'!B93</f>
        <v>29</v>
      </c>
      <c r="B42" s="1513">
        <f>IF(B41="","",IF('Cash Flow Analysis'!$B$31=0,"N/A",IF(A42=1,1,IF(A41=debt_period,"",B41+1))))</f>
        <v>29</v>
      </c>
      <c r="C42" s="1093">
        <f ca="1">IF(OR(A42="",B42="",B42="N/A"),"",IF(B42=1,-'Cash Flow Analysis'!G93,IF(B42="N/A",0,G41)))</f>
        <v>165664856.02805442</v>
      </c>
      <c r="D42" s="1093">
        <f ca="1">IF(debt_period=0,
E42+F42,
IF(OR(A42="",B42="",B42="N/A"),"",IF(B42=1,((debt_interest*(1+debt_interest)^debt_period)/((1+debt_interest)^debt_period-1))*(-'Cash Flow Analysis'!G93),IF(G41=0,"",D41))))</f>
        <v>6129599.6730380133</v>
      </c>
      <c r="E42" s="1093">
        <f t="shared" ca="1" si="0"/>
        <v>6129599.6730380133</v>
      </c>
      <c r="F42" s="1093">
        <f t="shared" si="2"/>
        <v>0</v>
      </c>
      <c r="G42" s="1514">
        <f t="shared" ca="1" si="1"/>
        <v>165664856.02805442</v>
      </c>
    </row>
    <row r="43" spans="1:7" s="53" customFormat="1" ht="15" customHeight="1" x14ac:dyDescent="0.25">
      <c r="A43" s="1090">
        <f>'Cash Flow Analysis'!B94</f>
        <v>30</v>
      </c>
      <c r="B43" s="1513">
        <f>IF(B42="","",IF('Cash Flow Analysis'!$B$31=0,"N/A",IF(A43=1,1,IF(A42=debt_period,"",B42+1))))</f>
        <v>30</v>
      </c>
      <c r="C43" s="1093">
        <f ca="1">IF(OR(A43="",B43="",B43="N/A"),"",IF(B43=1,-'Cash Flow Analysis'!G94,IF(B43="N/A",0,G42)))</f>
        <v>165664856.02805442</v>
      </c>
      <c r="D43" s="1093">
        <f ca="1">IF(debt_period=0,
E43+F43,
IF(OR(A43="",B43="",B43="N/A"),"",IF(B43=1,((debt_interest*(1+debt_interest)^debt_period)/((1+debt_interest)^debt_period-1))*(-'Cash Flow Analysis'!G94),IF(G42=0,"",D42))))</f>
        <v>6129599.6730380133</v>
      </c>
      <c r="E43" s="1093">
        <f t="shared" ca="1" si="0"/>
        <v>6129599.6730380133</v>
      </c>
      <c r="F43" s="1093">
        <f t="shared" si="2"/>
        <v>0</v>
      </c>
      <c r="G43" s="1514">
        <f t="shared" ca="1" si="1"/>
        <v>165664856.02805442</v>
      </c>
    </row>
    <row r="44" spans="1:7" s="53" customFormat="1" ht="15" customHeight="1" x14ac:dyDescent="0.25">
      <c r="A44" s="1090">
        <f>'Cash Flow Analysis'!B95</f>
        <v>31</v>
      </c>
      <c r="B44" s="1513">
        <f>IF(B43="","",IF('Cash Flow Analysis'!$B$31=0,"N/A",IF(A44=1,1,IF(A43=debt_period,"",B43+1))))</f>
        <v>31</v>
      </c>
      <c r="C44" s="1093">
        <f ca="1">IF(OR(A44="",B44="",B44="N/A"),"",IF(B44=1,-'Cash Flow Analysis'!G95,IF(B44="N/A",0,G43)))</f>
        <v>165664856.02805442</v>
      </c>
      <c r="D44" s="1093">
        <f ca="1">IF(debt_period=0,
E44+F44,
IF(OR(A44="",B44="",B44="N/A"),"",IF(B44=1,((debt_interest*(1+debt_interest)^debt_period)/((1+debt_interest)^debt_period-1))*(-'Cash Flow Analysis'!G95),IF(G43=0,"",D43))))</f>
        <v>6129599.6730380133</v>
      </c>
      <c r="E44" s="1093">
        <f t="shared" ca="1" si="0"/>
        <v>6129599.6730380133</v>
      </c>
      <c r="F44" s="1093">
        <f t="shared" si="2"/>
        <v>0</v>
      </c>
      <c r="G44" s="1514">
        <f t="shared" ca="1" si="1"/>
        <v>165664856.02805442</v>
      </c>
    </row>
    <row r="45" spans="1:7" s="53" customFormat="1" ht="15" customHeight="1" x14ac:dyDescent="0.25">
      <c r="A45" s="1090">
        <f>'Cash Flow Analysis'!B96</f>
        <v>32</v>
      </c>
      <c r="B45" s="1513">
        <f>IF(B44="","",IF('Cash Flow Analysis'!$B$31=0,"N/A",IF(A45=1,1,IF(A44=debt_period,"",B44+1))))</f>
        <v>32</v>
      </c>
      <c r="C45" s="1093">
        <f ca="1">IF(OR(A45="",B45="",B45="N/A"),"",IF(B45=1,-'Cash Flow Analysis'!G96,IF(B45="N/A",0,G44)))</f>
        <v>165664856.02805442</v>
      </c>
      <c r="D45" s="1093">
        <f ca="1">IF(debt_period=0,
E45+F45,
IF(OR(A45="",B45="",B45="N/A"),"",IF(B45=1,((debt_interest*(1+debt_interest)^debt_period)/((1+debt_interest)^debt_period-1))*(-'Cash Flow Analysis'!G96),IF(G44=0,"",D44))))</f>
        <v>6129599.6730380133</v>
      </c>
      <c r="E45" s="1093">
        <f t="shared" ca="1" si="0"/>
        <v>6129599.6730380133</v>
      </c>
      <c r="F45" s="1093">
        <f t="shared" si="2"/>
        <v>0</v>
      </c>
      <c r="G45" s="1514">
        <f t="shared" ca="1" si="1"/>
        <v>165664856.02805442</v>
      </c>
    </row>
    <row r="46" spans="1:7" s="53" customFormat="1" ht="15" customHeight="1" x14ac:dyDescent="0.25">
      <c r="A46" s="1090">
        <f>'Cash Flow Analysis'!B97</f>
        <v>33</v>
      </c>
      <c r="B46" s="1513">
        <f>IF(B45="","",IF('Cash Flow Analysis'!$B$31=0,"N/A",IF(A46=1,1,IF(A45=debt_period,"",B45+1))))</f>
        <v>33</v>
      </c>
      <c r="C46" s="1093">
        <f ca="1">IF(OR(A46="",B46="",B46="N/A"),"",IF(B46=1,-'Cash Flow Analysis'!G97,IF(B46="N/A",0,G45)))</f>
        <v>165664856.02805442</v>
      </c>
      <c r="D46" s="1093">
        <f ca="1">IF(debt_period=0,
E46+F46,
IF(OR(A46="",B46="",B46="N/A"),"",IF(B46=1,((debt_interest*(1+debt_interest)^debt_period)/((1+debt_interest)^debt_period-1))*(-'Cash Flow Analysis'!G97),IF(G45=0,"",D45))))</f>
        <v>6129599.6730380133</v>
      </c>
      <c r="E46" s="1093">
        <f t="shared" ca="1" si="0"/>
        <v>6129599.6730380133</v>
      </c>
      <c r="F46" s="1093">
        <f t="shared" si="2"/>
        <v>0</v>
      </c>
      <c r="G46" s="1514">
        <f t="shared" ca="1" si="1"/>
        <v>165664856.02805442</v>
      </c>
    </row>
    <row r="47" spans="1:7" s="53" customFormat="1" ht="15" customHeight="1" x14ac:dyDescent="0.25">
      <c r="A47" s="1090">
        <f>'Cash Flow Analysis'!B98</f>
        <v>34</v>
      </c>
      <c r="B47" s="1513">
        <f>IF(B46="","",IF('Cash Flow Analysis'!$B$31=0,"N/A",IF(A47=1,1,IF(A46=debt_period,"",B46+1))))</f>
        <v>34</v>
      </c>
      <c r="C47" s="1093">
        <f ca="1">IF(OR(A47="",B47="",B47="N/A"),"",IF(B47=1,-'Cash Flow Analysis'!G98,IF(B47="N/A",0,G46)))</f>
        <v>165664856.02805442</v>
      </c>
      <c r="D47" s="1093">
        <f ca="1">IF(debt_period=0,
E47+F47,
IF(OR(A47="",B47="",B47="N/A"),"",IF(B47=1,((debt_interest*(1+debt_interest)^debt_period)/((1+debt_interest)^debt_period-1))*(-'Cash Flow Analysis'!G98),IF(G46=0,"",D46))))</f>
        <v>6129599.6730380133</v>
      </c>
      <c r="E47" s="1093">
        <f t="shared" ca="1" si="0"/>
        <v>6129599.6730380133</v>
      </c>
      <c r="F47" s="1093">
        <f t="shared" si="2"/>
        <v>0</v>
      </c>
      <c r="G47" s="1514">
        <f t="shared" ca="1" si="1"/>
        <v>165664856.02805442</v>
      </c>
    </row>
    <row r="48" spans="1:7" s="53" customFormat="1" ht="15" customHeight="1" x14ac:dyDescent="0.25">
      <c r="A48" s="1090">
        <f>'Cash Flow Analysis'!B99</f>
        <v>35</v>
      </c>
      <c r="B48" s="1513">
        <f>IF(B47="","",IF('Cash Flow Analysis'!$B$31=0,"N/A",IF(A48=1,1,IF(A47=debt_period,"",B47+1))))</f>
        <v>35</v>
      </c>
      <c r="C48" s="1093">
        <f ca="1">IF(OR(A48="",B48="",B48="N/A"),"",IF(B48=1,-'Cash Flow Analysis'!G99,IF(B48="N/A",0,G47)))</f>
        <v>165664856.02805442</v>
      </c>
      <c r="D48" s="1093">
        <f ca="1">IF(debt_period=0,
E48+F48,
IF(OR(A48="",B48="",B48="N/A"),"",IF(B48=1,((debt_interest*(1+debt_interest)^debt_period)/((1+debt_interest)^debt_period-1))*(-'Cash Flow Analysis'!G99),IF(G47=0,"",D47))))</f>
        <v>6129599.6730380133</v>
      </c>
      <c r="E48" s="1093">
        <f t="shared" ca="1" si="0"/>
        <v>6129599.6730380133</v>
      </c>
      <c r="F48" s="1093">
        <f t="shared" si="2"/>
        <v>0</v>
      </c>
      <c r="G48" s="1514">
        <f t="shared" ca="1" si="1"/>
        <v>165664856.02805442</v>
      </c>
    </row>
    <row r="49" spans="1:7" s="53" customFormat="1" ht="15" customHeight="1" x14ac:dyDescent="0.25">
      <c r="A49" s="1090">
        <f>'Cash Flow Analysis'!B100</f>
        <v>36</v>
      </c>
      <c r="B49" s="1513">
        <f>IF(B48="","",IF('Cash Flow Analysis'!$B$31=0,"N/A",IF(A49=1,1,IF(A48=debt_period,"",B48+1))))</f>
        <v>36</v>
      </c>
      <c r="C49" s="1093">
        <f ca="1">IF(OR(A49="",B49="",B49="N/A"),"",IF(B49=1,-'Cash Flow Analysis'!G100,IF(B49="N/A",0,G48)))</f>
        <v>165664856.02805442</v>
      </c>
      <c r="D49" s="1093">
        <f ca="1">IF(debt_period=0,
E49+F49,
IF(OR(A49="",B49="",B49="N/A"),"",IF(B49=1,((debt_interest*(1+debt_interest)^debt_period)/((1+debt_interest)^debt_period-1))*(-'Cash Flow Analysis'!G100),IF(G48=0,"",D48))))</f>
        <v>6129599.6730380133</v>
      </c>
      <c r="E49" s="1093">
        <f t="shared" ca="1" si="0"/>
        <v>6129599.6730380133</v>
      </c>
      <c r="F49" s="1093">
        <f t="shared" si="2"/>
        <v>0</v>
      </c>
      <c r="G49" s="1514">
        <f t="shared" ca="1" si="1"/>
        <v>165664856.02805442</v>
      </c>
    </row>
    <row r="50" spans="1:7" s="53" customFormat="1" ht="15" customHeight="1" x14ac:dyDescent="0.25">
      <c r="A50" s="1090">
        <f>'Cash Flow Analysis'!B101</f>
        <v>37</v>
      </c>
      <c r="B50" s="1513">
        <f>IF(B49="","",IF('Cash Flow Analysis'!$B$31=0,"N/A",IF(A50=1,1,IF(A49=debt_period,"",B49+1))))</f>
        <v>37</v>
      </c>
      <c r="C50" s="1093">
        <f ca="1">IF(OR(A50="",B50="",B50="N/A"),"",IF(B50=1,-'Cash Flow Analysis'!G101,IF(B50="N/A",0,G49)))</f>
        <v>165664856.02805442</v>
      </c>
      <c r="D50" s="1093">
        <f ca="1">IF(debt_period=0,
E50+F50,
IF(OR(A50="",B50="",B50="N/A"),"",IF(B50=1,((debt_interest*(1+debt_interest)^debt_period)/((1+debt_interest)^debt_period-1))*(-'Cash Flow Analysis'!G101),IF(G49=0,"",D49))))</f>
        <v>6129599.6730380133</v>
      </c>
      <c r="E50" s="1093">
        <f t="shared" ca="1" si="0"/>
        <v>6129599.6730380133</v>
      </c>
      <c r="F50" s="1093">
        <f t="shared" si="2"/>
        <v>0</v>
      </c>
      <c r="G50" s="1514">
        <f t="shared" ca="1" si="1"/>
        <v>165664856.02805442</v>
      </c>
    </row>
    <row r="51" spans="1:7" s="53" customFormat="1" ht="15" customHeight="1" x14ac:dyDescent="0.25">
      <c r="A51" s="1090">
        <f>'Cash Flow Analysis'!B102</f>
        <v>38</v>
      </c>
      <c r="B51" s="1513">
        <f>IF(B50="","",IF('Cash Flow Analysis'!$B$31=0,"N/A",IF(A51=1,1,IF(A50=debt_period,"",B50+1))))</f>
        <v>38</v>
      </c>
      <c r="C51" s="1093">
        <f ca="1">IF(OR(A51="",B51="",B51="N/A"),"",IF(B51=1,-'Cash Flow Analysis'!G102,IF(B51="N/A",0,G50)))</f>
        <v>165664856.02805442</v>
      </c>
      <c r="D51" s="1093">
        <f ca="1">IF(debt_period=0,
E51+F51,
IF(OR(A51="",B51="",B51="N/A"),"",IF(B51=1,((debt_interest*(1+debt_interest)^debt_period)/((1+debt_interest)^debt_period-1))*(-'Cash Flow Analysis'!G102),IF(G50=0,"",D50))))</f>
        <v>6129599.6730380133</v>
      </c>
      <c r="E51" s="1093">
        <f t="shared" ca="1" si="0"/>
        <v>6129599.6730380133</v>
      </c>
      <c r="F51" s="1093">
        <f t="shared" si="2"/>
        <v>0</v>
      </c>
      <c r="G51" s="1514">
        <f t="shared" ca="1" si="1"/>
        <v>165664856.02805442</v>
      </c>
    </row>
    <row r="52" spans="1:7" s="53" customFormat="1" ht="15" customHeight="1" x14ac:dyDescent="0.25">
      <c r="A52" s="1090">
        <f>'Cash Flow Analysis'!B103</f>
        <v>39</v>
      </c>
      <c r="B52" s="1513">
        <f>IF(B51="","",IF('Cash Flow Analysis'!$B$31=0,"N/A",IF(A52=1,1,IF(A51=debt_period,"",B51+1))))</f>
        <v>39</v>
      </c>
      <c r="C52" s="1093">
        <f ca="1">IF(OR(A52="",B52="",B52="N/A"),"",IF(B52=1,-'Cash Flow Analysis'!G103,IF(B52="N/A",0,G51)))</f>
        <v>165664856.02805442</v>
      </c>
      <c r="D52" s="1093">
        <f ca="1">IF(debt_period=0,
E52+F52,
IF(OR(A52="",B52="",B52="N/A"),"",IF(B52=1,((debt_interest*(1+debt_interest)^debt_period)/((1+debt_interest)^debt_period-1))*(-'Cash Flow Analysis'!G103),IF(G51=0,"",D51))))</f>
        <v>6129599.6730380133</v>
      </c>
      <c r="E52" s="1093">
        <f t="shared" ca="1" si="0"/>
        <v>6129599.6730380133</v>
      </c>
      <c r="F52" s="1093">
        <f t="shared" si="2"/>
        <v>0</v>
      </c>
      <c r="G52" s="1514">
        <f t="shared" ca="1" si="1"/>
        <v>165664856.02805442</v>
      </c>
    </row>
    <row r="53" spans="1:7" s="53" customFormat="1" ht="15" customHeight="1" x14ac:dyDescent="0.25">
      <c r="A53" s="1090">
        <f>'Cash Flow Analysis'!B104</f>
        <v>40</v>
      </c>
      <c r="B53" s="1513">
        <f>IF(B52="","",IF('Cash Flow Analysis'!$B$31=0,"N/A",IF(A53=1,1,IF(A52=debt_period,"",B52+1))))</f>
        <v>40</v>
      </c>
      <c r="C53" s="1093">
        <f ca="1">IF(OR(A53="",B53="",B53="N/A"),"",IF(B53=1,-'Cash Flow Analysis'!G104,IF(B53="N/A",0,G52)))</f>
        <v>165664856.02805442</v>
      </c>
      <c r="D53" s="1093">
        <f ca="1">IF(debt_period=0,
E53+F53,
IF(OR(A53="",B53="",B53="N/A"),"",IF(B53=1,((debt_interest*(1+debt_interest)^debt_period)/((1+debt_interest)^debt_period-1))*(-'Cash Flow Analysis'!G104),IF(G52=0,"",D52))))</f>
        <v>6129599.6730380133</v>
      </c>
      <c r="E53" s="1093">
        <f t="shared" ca="1" si="0"/>
        <v>6129599.6730380133</v>
      </c>
      <c r="F53" s="1093">
        <f t="shared" si="2"/>
        <v>0</v>
      </c>
      <c r="G53" s="1514">
        <f t="shared" ca="1" si="1"/>
        <v>165664856.02805442</v>
      </c>
    </row>
    <row r="54" spans="1:7" s="53" customFormat="1" ht="15" customHeight="1" x14ac:dyDescent="0.25">
      <c r="A54" s="1090">
        <f>'Cash Flow Analysis'!B105</f>
        <v>41</v>
      </c>
      <c r="B54" s="1513">
        <f>IF(B53="","",IF('Cash Flow Analysis'!$B$31=0,"N/A",IF(A54=1,1,IF(A53=debt_period,"",B53+1))))</f>
        <v>41</v>
      </c>
      <c r="C54" s="1093">
        <f ca="1">IF(OR(A54="",B54="",B54="N/A"),"",IF(B54=1,-'Cash Flow Analysis'!G105,IF(B54="N/A",0,G53)))</f>
        <v>165664856.02805442</v>
      </c>
      <c r="D54" s="1093">
        <f ca="1">IF(debt_period=0,
E54+F54,
IF(OR(A54="",B54="",B54="N/A"),"",IF(B54=1,((debt_interest*(1+debt_interest)^debt_period)/((1+debt_interest)^debt_period-1))*(-'Cash Flow Analysis'!G105),IF(G53=0,"",D53))))</f>
        <v>6129599.6730380133</v>
      </c>
      <c r="E54" s="1093">
        <f t="shared" ca="1" si="0"/>
        <v>6129599.6730380133</v>
      </c>
      <c r="F54" s="1093">
        <f t="shared" si="2"/>
        <v>0</v>
      </c>
      <c r="G54" s="1514">
        <f t="shared" ca="1" si="1"/>
        <v>165664856.02805442</v>
      </c>
    </row>
    <row r="55" spans="1:7" s="53" customFormat="1" ht="15" customHeight="1" x14ac:dyDescent="0.25">
      <c r="A55" s="1090">
        <f>'Cash Flow Analysis'!B106</f>
        <v>42</v>
      </c>
      <c r="B55" s="1513">
        <f>IF(B54="","",IF('Cash Flow Analysis'!$B$31=0,"N/A",IF(A55=1,1,IF(A54=debt_period,"",B54+1))))</f>
        <v>42</v>
      </c>
      <c r="C55" s="1093">
        <f ca="1">IF(OR(A55="",B55="",B55="N/A"),"",IF(B55=1,-'Cash Flow Analysis'!G106,IF(B55="N/A",0,G54)))</f>
        <v>165664856.02805442</v>
      </c>
      <c r="D55" s="1093">
        <f ca="1">IF(debt_period=0,
E55+F55,
IF(OR(A55="",B55="",B55="N/A"),"",IF(B55=1,((debt_interest*(1+debt_interest)^debt_period)/((1+debt_interest)^debt_period-1))*(-'Cash Flow Analysis'!G106),IF(G54=0,"",D54))))</f>
        <v>6129599.6730380133</v>
      </c>
      <c r="E55" s="1093">
        <f t="shared" ca="1" si="0"/>
        <v>6129599.6730380133</v>
      </c>
      <c r="F55" s="1093">
        <f t="shared" si="2"/>
        <v>0</v>
      </c>
      <c r="G55" s="1514">
        <f t="shared" ca="1" si="1"/>
        <v>165664856.02805442</v>
      </c>
    </row>
    <row r="56" spans="1:7" s="53" customFormat="1" ht="15" customHeight="1" x14ac:dyDescent="0.25">
      <c r="A56" s="1090">
        <f>'Cash Flow Analysis'!B107</f>
        <v>43</v>
      </c>
      <c r="B56" s="1513">
        <f>IF(B55="","",IF('Cash Flow Analysis'!$B$31=0,"N/A",IF(A56=1,1,IF(A55=debt_period,"",B55+1))))</f>
        <v>43</v>
      </c>
      <c r="C56" s="1093">
        <f ca="1">IF(OR(A56="",B56="",B56="N/A"),"",IF(B56=1,-'Cash Flow Analysis'!G107,IF(B56="N/A",0,G55)))</f>
        <v>165664856.02805442</v>
      </c>
      <c r="D56" s="1093">
        <f ca="1">IF(debt_period=0,
E56+F56,
IF(OR(A56="",B56="",B56="N/A"),"",IF(B56=1,((debt_interest*(1+debt_interest)^debt_period)/((1+debt_interest)^debt_period-1))*(-'Cash Flow Analysis'!G107),IF(G55=0,"",D55))))</f>
        <v>171794455.70109242</v>
      </c>
      <c r="E56" s="1093">
        <f t="shared" ca="1" si="0"/>
        <v>6129599.6730380133</v>
      </c>
      <c r="F56" s="1093">
        <f t="shared" ca="1" si="2"/>
        <v>165664856.02805442</v>
      </c>
      <c r="G56" s="1514">
        <f t="shared" ca="1" si="1"/>
        <v>0</v>
      </c>
    </row>
    <row r="57" spans="1:7" s="53" customFormat="1" ht="15" customHeight="1" thickBot="1" x14ac:dyDescent="0.3">
      <c r="A57" s="1515" t="str">
        <f>'Cash Flow Analysis'!B108</f>
        <v/>
      </c>
      <c r="B57" s="1516">
        <f>IF(B56="","",IF('Cash Flow Analysis'!$B$31=0,"N/A",IF(A57=1,1,IF(A56=debt_period,"",B56+1))))</f>
        <v>44</v>
      </c>
      <c r="C57" s="1517" t="str">
        <f>IF(OR(A57="",B57="",B57="N/A"),"",IF(B57=1,-'Cash Flow Analysis'!G108,IF(B57="N/A",0,G56)))</f>
        <v/>
      </c>
      <c r="D57" s="1517" t="str">
        <f>IF(F57=0,E57,
IF(OR(A57="",B57="",B57="N/A"),"",IF(B57=1,((debt_interest*(1+debt_interest)^debt_period)/((1+debt_interest)^debt_period-1))*(-'Cash Flow Analysis'!G108),IF(G56=0,"",D56))))</f>
        <v/>
      </c>
      <c r="E57" s="1517" t="str">
        <f t="shared" si="0"/>
        <v/>
      </c>
      <c r="F57" s="1517">
        <f t="shared" si="2"/>
        <v>0</v>
      </c>
      <c r="G57" s="1518" t="str">
        <f t="shared" si="1"/>
        <v/>
      </c>
    </row>
    <row r="58" spans="1:7" ht="13"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796875" defaultRowHeight="12.5" x14ac:dyDescent="0.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x14ac:dyDescent="0.4">
      <c r="A1" s="37" t="s">
        <v>47</v>
      </c>
    </row>
    <row r="2" spans="1:8" ht="15" customHeight="1" x14ac:dyDescent="0.25">
      <c r="G2" s="39"/>
    </row>
    <row r="3" spans="1:8" ht="15" customHeight="1" x14ac:dyDescent="0.35">
      <c r="A3" s="42" t="s">
        <v>33</v>
      </c>
      <c r="B3" s="43"/>
      <c r="C3" s="43"/>
      <c r="D3" s="43"/>
      <c r="E3" s="44"/>
      <c r="F3" s="44"/>
      <c r="G3" s="44"/>
      <c r="H3" s="39"/>
    </row>
    <row r="4" spans="1:8" ht="15" customHeight="1" x14ac:dyDescent="0.35">
      <c r="A4" s="42" t="s">
        <v>34</v>
      </c>
      <c r="B4" s="43"/>
      <c r="C4" s="43"/>
      <c r="D4" s="43"/>
      <c r="E4" s="44"/>
      <c r="F4" s="44"/>
      <c r="G4" s="44"/>
      <c r="H4" s="39"/>
    </row>
    <row r="5" spans="1:8" ht="15" customHeight="1" x14ac:dyDescent="0.25">
      <c r="G5" s="39"/>
    </row>
    <row r="6" spans="1:8" ht="15" customHeight="1" x14ac:dyDescent="0.25">
      <c r="A6" s="36"/>
      <c r="B6" s="41" t="s">
        <v>35</v>
      </c>
    </row>
    <row r="7" spans="1:8" ht="15" customHeight="1" x14ac:dyDescent="0.25">
      <c r="A7" s="46"/>
      <c r="B7" s="41" t="s">
        <v>36</v>
      </c>
    </row>
    <row r="8" spans="1:8" ht="15" customHeight="1" x14ac:dyDescent="0.25">
      <c r="A8" s="47"/>
      <c r="B8" s="41" t="s">
        <v>37</v>
      </c>
    </row>
    <row r="9" spans="1:8" ht="15" customHeight="1" x14ac:dyDescent="0.25">
      <c r="A9" s="48"/>
      <c r="B9" s="41" t="s">
        <v>38</v>
      </c>
    </row>
    <row r="10" spans="1:8" ht="15" customHeight="1" x14ac:dyDescent="0.25"/>
    <row r="11" spans="1:8" ht="15" customHeight="1" thickBot="1" x14ac:dyDescent="0.3"/>
    <row r="12" spans="1:8" ht="29.25" customHeight="1" thickTop="1" thickBot="1" x14ac:dyDescent="0.4">
      <c r="B12" s="63" t="s">
        <v>48</v>
      </c>
      <c r="C12" s="64"/>
      <c r="D12" s="64"/>
      <c r="E12" s="64"/>
      <c r="F12" s="64"/>
      <c r="G12" s="64"/>
      <c r="H12" s="65"/>
    </row>
    <row r="13" spans="1:8" ht="15" customHeight="1" thickTop="1" thickBot="1" x14ac:dyDescent="0.3">
      <c r="B13" s="66"/>
      <c r="C13" s="1711" t="s">
        <v>49</v>
      </c>
      <c r="D13" s="1711"/>
      <c r="E13" s="1711"/>
      <c r="F13" s="1711"/>
      <c r="G13" s="1711"/>
      <c r="H13" s="1712"/>
    </row>
    <row r="14" spans="1:8" ht="15" customHeight="1" thickTop="1" thickBot="1" x14ac:dyDescent="0.3">
      <c r="B14" s="69" t="s">
        <v>49</v>
      </c>
      <c r="C14" s="70">
        <v>3</v>
      </c>
      <c r="D14" s="67">
        <v>5</v>
      </c>
      <c r="E14" s="67">
        <v>7</v>
      </c>
      <c r="F14" s="67">
        <v>10</v>
      </c>
      <c r="G14" s="67">
        <v>15</v>
      </c>
      <c r="H14" s="68">
        <v>20</v>
      </c>
    </row>
    <row r="15" spans="1:8" ht="15" customHeight="1" thickTop="1" x14ac:dyDescent="0.25">
      <c r="B15" s="71">
        <v>1</v>
      </c>
      <c r="C15" s="72">
        <v>0.33329999999999999</v>
      </c>
      <c r="D15" s="73">
        <v>0.2</v>
      </c>
      <c r="E15" s="73">
        <v>0.1429</v>
      </c>
      <c r="F15" s="73">
        <v>0.1</v>
      </c>
      <c r="G15" s="73">
        <v>0.05</v>
      </c>
      <c r="H15" s="74">
        <v>3.7499999999999999E-2</v>
      </c>
    </row>
    <row r="16" spans="1:8" ht="15" customHeight="1" x14ac:dyDescent="0.25">
      <c r="B16" s="75">
        <v>2</v>
      </c>
      <c r="C16" s="76">
        <v>0.44450000000000001</v>
      </c>
      <c r="D16" s="77">
        <v>0.32</v>
      </c>
      <c r="E16" s="77">
        <v>0.24490000000000001</v>
      </c>
      <c r="F16" s="77">
        <v>0.18</v>
      </c>
      <c r="G16" s="77">
        <v>9.5000000000000001E-2</v>
      </c>
      <c r="H16" s="78">
        <v>7.2190000000000004E-2</v>
      </c>
    </row>
    <row r="17" spans="2:8" ht="15" customHeight="1" x14ac:dyDescent="0.25">
      <c r="B17" s="75">
        <v>3</v>
      </c>
      <c r="C17" s="76">
        <v>0.14810000000000001</v>
      </c>
      <c r="D17" s="77">
        <v>0.192</v>
      </c>
      <c r="E17" s="77">
        <v>0.1749</v>
      </c>
      <c r="F17" s="77">
        <v>0.14399999999999999</v>
      </c>
      <c r="G17" s="77">
        <v>8.5500000000000007E-2</v>
      </c>
      <c r="H17" s="78">
        <v>6.6769999999999996E-2</v>
      </c>
    </row>
    <row r="18" spans="2:8" ht="15" customHeight="1" x14ac:dyDescent="0.25">
      <c r="B18" s="75">
        <v>4</v>
      </c>
      <c r="C18" s="76">
        <v>7.4099999999999999E-2</v>
      </c>
      <c r="D18" s="77">
        <v>0.1152</v>
      </c>
      <c r="E18" s="77">
        <v>0.1249</v>
      </c>
      <c r="F18" s="77">
        <v>0.1152</v>
      </c>
      <c r="G18" s="77">
        <v>7.6999999999999999E-2</v>
      </c>
      <c r="H18" s="78">
        <v>6.1769999999999999E-2</v>
      </c>
    </row>
    <row r="19" spans="2:8" ht="15" customHeight="1" x14ac:dyDescent="0.25">
      <c r="B19" s="75">
        <v>5</v>
      </c>
      <c r="C19" s="76"/>
      <c r="D19" s="77">
        <v>0.1152</v>
      </c>
      <c r="E19" s="77">
        <v>8.9300000000000004E-2</v>
      </c>
      <c r="F19" s="77">
        <v>9.2200000000000004E-2</v>
      </c>
      <c r="G19" s="77">
        <v>6.93E-2</v>
      </c>
      <c r="H19" s="78">
        <v>5.713E-2</v>
      </c>
    </row>
    <row r="20" spans="2:8" ht="15" customHeight="1" x14ac:dyDescent="0.25">
      <c r="B20" s="75">
        <v>6</v>
      </c>
      <c r="C20" s="76"/>
      <c r="D20" s="77">
        <v>5.7599999999999998E-2</v>
      </c>
      <c r="E20" s="77">
        <v>8.9200000000000002E-2</v>
      </c>
      <c r="F20" s="77">
        <v>7.3700000000000002E-2</v>
      </c>
      <c r="G20" s="77">
        <v>6.2300000000000001E-2</v>
      </c>
      <c r="H20" s="78">
        <v>5.2850000000000001E-2</v>
      </c>
    </row>
    <row r="21" spans="2:8" ht="15" customHeight="1" x14ac:dyDescent="0.25">
      <c r="B21" s="75">
        <v>7</v>
      </c>
      <c r="C21" s="76"/>
      <c r="D21" s="77"/>
      <c r="E21" s="77">
        <v>8.9300000000000004E-2</v>
      </c>
      <c r="F21" s="77">
        <v>6.5500000000000003E-2</v>
      </c>
      <c r="G21" s="77">
        <v>5.8999999999999997E-2</v>
      </c>
      <c r="H21" s="78">
        <v>4.888E-2</v>
      </c>
    </row>
    <row r="22" spans="2:8" ht="15" customHeight="1" x14ac:dyDescent="0.25">
      <c r="B22" s="75">
        <v>8</v>
      </c>
      <c r="C22" s="76"/>
      <c r="D22" s="77"/>
      <c r="E22" s="77">
        <v>4.4600000000000001E-2</v>
      </c>
      <c r="F22" s="77">
        <v>6.5500000000000003E-2</v>
      </c>
      <c r="G22" s="77">
        <v>5.8999999999999997E-2</v>
      </c>
      <c r="H22" s="78">
        <v>4.5220000000000003E-2</v>
      </c>
    </row>
    <row r="23" spans="2:8" ht="15" customHeight="1" x14ac:dyDescent="0.25">
      <c r="B23" s="75">
        <v>9</v>
      </c>
      <c r="C23" s="76"/>
      <c r="D23" s="77"/>
      <c r="E23" s="77"/>
      <c r="F23" s="77">
        <v>6.5600000000000006E-2</v>
      </c>
      <c r="G23" s="77">
        <v>5.91E-2</v>
      </c>
      <c r="H23" s="78">
        <v>4.462E-2</v>
      </c>
    </row>
    <row r="24" spans="2:8" ht="15" customHeight="1" x14ac:dyDescent="0.25">
      <c r="B24" s="75">
        <v>10</v>
      </c>
      <c r="C24" s="76"/>
      <c r="D24" s="77"/>
      <c r="E24" s="77"/>
      <c r="F24" s="77">
        <v>6.5500000000000003E-2</v>
      </c>
      <c r="G24" s="77">
        <v>5.8999999999999997E-2</v>
      </c>
      <c r="H24" s="78">
        <v>4.4609999999999997E-2</v>
      </c>
    </row>
    <row r="25" spans="2:8" ht="15" customHeight="1" x14ac:dyDescent="0.25">
      <c r="B25" s="75">
        <v>11</v>
      </c>
      <c r="C25" s="76"/>
      <c r="D25" s="77"/>
      <c r="E25" s="77"/>
      <c r="F25" s="77">
        <v>3.2800000000000003E-2</v>
      </c>
      <c r="G25" s="77">
        <v>5.91E-2</v>
      </c>
      <c r="H25" s="78">
        <v>4.462E-2</v>
      </c>
    </row>
    <row r="26" spans="2:8" ht="15" customHeight="1" x14ac:dyDescent="0.25">
      <c r="B26" s="75">
        <v>12</v>
      </c>
      <c r="C26" s="76"/>
      <c r="D26" s="77"/>
      <c r="E26" s="77"/>
      <c r="F26" s="77"/>
      <c r="G26" s="77">
        <v>5.8999999999999997E-2</v>
      </c>
      <c r="H26" s="78">
        <v>4.4609999999999997E-2</v>
      </c>
    </row>
    <row r="27" spans="2:8" ht="15" customHeight="1" x14ac:dyDescent="0.25">
      <c r="B27" s="75">
        <v>13</v>
      </c>
      <c r="C27" s="76"/>
      <c r="D27" s="77"/>
      <c r="E27" s="77"/>
      <c r="F27" s="77"/>
      <c r="G27" s="77">
        <v>5.91E-2</v>
      </c>
      <c r="H27" s="78">
        <v>4.462E-2</v>
      </c>
    </row>
    <row r="28" spans="2:8" ht="15" customHeight="1" x14ac:dyDescent="0.25">
      <c r="B28" s="75">
        <v>14</v>
      </c>
      <c r="C28" s="76"/>
      <c r="D28" s="77"/>
      <c r="E28" s="77"/>
      <c r="F28" s="77"/>
      <c r="G28" s="77">
        <v>5.8999999999999997E-2</v>
      </c>
      <c r="H28" s="78">
        <v>4.4609999999999997E-2</v>
      </c>
    </row>
    <row r="29" spans="2:8" ht="15" customHeight="1" x14ac:dyDescent="0.25">
      <c r="B29" s="75">
        <v>15</v>
      </c>
      <c r="C29" s="76"/>
      <c r="D29" s="77"/>
      <c r="E29" s="77"/>
      <c r="F29" s="77"/>
      <c r="G29" s="77">
        <v>5.91E-2</v>
      </c>
      <c r="H29" s="78">
        <v>4.462E-2</v>
      </c>
    </row>
    <row r="30" spans="2:8" ht="15" customHeight="1" x14ac:dyDescent="0.25">
      <c r="B30" s="75">
        <v>16</v>
      </c>
      <c r="C30" s="76"/>
      <c r="D30" s="77"/>
      <c r="E30" s="77"/>
      <c r="F30" s="77"/>
      <c r="G30" s="77">
        <v>2.9499999999999998E-2</v>
      </c>
      <c r="H30" s="78">
        <v>4.4609999999999997E-2</v>
      </c>
    </row>
    <row r="31" spans="2:8" ht="15" customHeight="1" x14ac:dyDescent="0.25">
      <c r="B31" s="75">
        <v>17</v>
      </c>
      <c r="C31" s="76"/>
      <c r="D31" s="77"/>
      <c r="E31" s="77"/>
      <c r="F31" s="77"/>
      <c r="G31" s="77"/>
      <c r="H31" s="78">
        <v>4.462E-2</v>
      </c>
    </row>
    <row r="32" spans="2:8" ht="15" customHeight="1" x14ac:dyDescent="0.25">
      <c r="B32" s="75">
        <v>18</v>
      </c>
      <c r="C32" s="76"/>
      <c r="D32" s="77"/>
      <c r="E32" s="77"/>
      <c r="F32" s="77"/>
      <c r="G32" s="77"/>
      <c r="H32" s="78">
        <v>4.4609999999999997E-2</v>
      </c>
    </row>
    <row r="33" spans="1:24" ht="15" customHeight="1" x14ac:dyDescent="0.25">
      <c r="B33" s="75">
        <v>19</v>
      </c>
      <c r="C33" s="76"/>
      <c r="D33" s="77"/>
      <c r="E33" s="77"/>
      <c r="F33" s="77"/>
      <c r="G33" s="77"/>
      <c r="H33" s="78">
        <v>4.462E-2</v>
      </c>
    </row>
    <row r="34" spans="1:24" ht="15" customHeight="1" x14ac:dyDescent="0.25">
      <c r="B34" s="75">
        <v>20</v>
      </c>
      <c r="C34" s="76"/>
      <c r="D34" s="77"/>
      <c r="E34" s="77"/>
      <c r="F34" s="77"/>
      <c r="G34" s="77"/>
      <c r="H34" s="78">
        <v>4.4609999999999997E-2</v>
      </c>
    </row>
    <row r="35" spans="1:24" ht="15" customHeight="1" thickBot="1" x14ac:dyDescent="0.3">
      <c r="B35" s="79">
        <v>21</v>
      </c>
      <c r="C35" s="80"/>
      <c r="D35" s="81"/>
      <c r="E35" s="81"/>
      <c r="F35" s="81"/>
      <c r="G35" s="81"/>
      <c r="H35" s="82">
        <v>2.231E-2</v>
      </c>
    </row>
    <row r="36" spans="1:24" ht="15" customHeight="1" thickTop="1" x14ac:dyDescent="0.25">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3">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4">
      <c r="A41" s="90" t="s">
        <v>52</v>
      </c>
      <c r="B41" s="91"/>
    </row>
    <row r="42" spans="1:24" ht="15" customHeight="1" thickTop="1" x14ac:dyDescent="0.25">
      <c r="A42" s="92" t="s">
        <v>389</v>
      </c>
      <c r="B42" s="93" t="str">
        <f>depr_type</f>
        <v>MACRS</v>
      </c>
    </row>
    <row r="43" spans="1:24" ht="15" customHeight="1" x14ac:dyDescent="0.25">
      <c r="A43" s="94" t="s">
        <v>53</v>
      </c>
      <c r="B43" s="95">
        <f>depr_length</f>
        <v>20</v>
      </c>
    </row>
    <row r="44" spans="1:24" ht="15" customHeight="1" thickBot="1" x14ac:dyDescent="0.3">
      <c r="A44" s="96" t="s">
        <v>54</v>
      </c>
      <c r="B44" s="97">
        <f ca="1">-('Cash Flow Analysis'!G65+SUM('Cash Flow Analysis'!H65:H113))</f>
        <v>278722894.45488358</v>
      </c>
    </row>
    <row r="45" spans="1:24" ht="15" customHeight="1" thickTop="1" x14ac:dyDescent="0.25"/>
    <row r="46" spans="1:24" ht="15" customHeight="1" thickBot="1" x14ac:dyDescent="0.3"/>
    <row r="47" spans="1:24" ht="27" customHeight="1" thickTop="1" thickBot="1" x14ac:dyDescent="0.4">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3">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5">
      <c r="A49" s="83">
        <f>IF('Cash Flow Analysis'!C65="","",'Cash Flow Analysis'!C65)</f>
        <v>-3</v>
      </c>
      <c r="B49" s="1087">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5">
      <c r="A50" s="75">
        <f>IF('Cash Flow Analysis'!C66="","",'Cash Flow Analysis'!C66)</f>
        <v>-2</v>
      </c>
      <c r="B50" s="1088">
        <f>IF(A50="","",IF(A50&lt;1,0,IF(A50=1,$B$44-'Cash Flow Analysis'!I66,-'Cash Flow Analysis'!I66)))</f>
        <v>0</v>
      </c>
      <c r="C50" s="108">
        <f t="shared" ref="C50:W50" si="4">IF($B$50="","",IF(AND($B$42="Straight Line",C48&lt;=depr_length),$B$50/depr_length,IF(AND($B$42="MACRS",C48&lt;=depr_length+1),$B$50*INDEX(MACRS_Table,MATCH(C48,recovery_year,0),MATCH($B$43,recovery_period,0)),"")))</f>
        <v>0</v>
      </c>
      <c r="D50" s="109">
        <f t="shared" si="4"/>
        <v>0</v>
      </c>
      <c r="E50" s="109">
        <f t="shared" si="4"/>
        <v>0</v>
      </c>
      <c r="F50" s="109">
        <f t="shared" si="4"/>
        <v>0</v>
      </c>
      <c r="G50" s="109">
        <f t="shared" si="4"/>
        <v>0</v>
      </c>
      <c r="H50" s="109">
        <f t="shared" si="4"/>
        <v>0</v>
      </c>
      <c r="I50" s="109">
        <f t="shared" si="4"/>
        <v>0</v>
      </c>
      <c r="J50" s="109">
        <f t="shared" si="4"/>
        <v>0</v>
      </c>
      <c r="K50" s="109">
        <f t="shared" si="4"/>
        <v>0</v>
      </c>
      <c r="L50" s="109">
        <f t="shared" si="4"/>
        <v>0</v>
      </c>
      <c r="M50" s="109">
        <f t="shared" si="4"/>
        <v>0</v>
      </c>
      <c r="N50" s="109">
        <f t="shared" si="4"/>
        <v>0</v>
      </c>
      <c r="O50" s="109">
        <f t="shared" si="4"/>
        <v>0</v>
      </c>
      <c r="P50" s="109">
        <f t="shared" si="4"/>
        <v>0</v>
      </c>
      <c r="Q50" s="109">
        <f t="shared" si="4"/>
        <v>0</v>
      </c>
      <c r="R50" s="109">
        <f t="shared" si="4"/>
        <v>0</v>
      </c>
      <c r="S50" s="109">
        <f t="shared" si="4"/>
        <v>0</v>
      </c>
      <c r="T50" s="109">
        <f t="shared" si="4"/>
        <v>0</v>
      </c>
      <c r="U50" s="109">
        <f t="shared" si="4"/>
        <v>0</v>
      </c>
      <c r="V50" s="109">
        <f t="shared" si="4"/>
        <v>0</v>
      </c>
      <c r="W50" s="110">
        <f t="shared" si="4"/>
        <v>0</v>
      </c>
      <c r="X50" s="107">
        <f t="shared" si="3"/>
        <v>0</v>
      </c>
    </row>
    <row r="51" spans="1:24" ht="15" customHeight="1" x14ac:dyDescent="0.25">
      <c r="A51" s="75">
        <f>IF('Cash Flow Analysis'!C67="","",'Cash Flow Analysis'!C67)</f>
        <v>-1</v>
      </c>
      <c r="B51" s="1088">
        <f>IF(A51="","",IF(A51&lt;1,0,IF(A51=1,$B$44-'Cash Flow Analysis'!I67,-'Cash Flow Analysis'!I67)))</f>
        <v>0</v>
      </c>
      <c r="C51" s="108">
        <f t="shared" ref="C51:W51" si="5">IF($B$51="","",IF(AND($B$42="Straight Line",C48&lt;=depr_length),$B$51/depr_length,IF(AND($B$42="MACRS",C48&lt;=depr_length+1),$B$51*INDEX(MACRS_Table,MATCH(C48,recovery_year,0),MATCH($B$43,recovery_period,0)),"")))</f>
        <v>0</v>
      </c>
      <c r="D51" s="109">
        <f t="shared" si="5"/>
        <v>0</v>
      </c>
      <c r="E51" s="109">
        <f t="shared" si="5"/>
        <v>0</v>
      </c>
      <c r="F51" s="109">
        <f t="shared" si="5"/>
        <v>0</v>
      </c>
      <c r="G51" s="109">
        <f t="shared" si="5"/>
        <v>0</v>
      </c>
      <c r="H51" s="109">
        <f t="shared" si="5"/>
        <v>0</v>
      </c>
      <c r="I51" s="109">
        <f t="shared" si="5"/>
        <v>0</v>
      </c>
      <c r="J51" s="109">
        <f t="shared" si="5"/>
        <v>0</v>
      </c>
      <c r="K51" s="109">
        <f t="shared" si="5"/>
        <v>0</v>
      </c>
      <c r="L51" s="109">
        <f t="shared" si="5"/>
        <v>0</v>
      </c>
      <c r="M51" s="109">
        <f t="shared" si="5"/>
        <v>0</v>
      </c>
      <c r="N51" s="109">
        <f t="shared" si="5"/>
        <v>0</v>
      </c>
      <c r="O51" s="109">
        <f t="shared" si="5"/>
        <v>0</v>
      </c>
      <c r="P51" s="109">
        <f t="shared" si="5"/>
        <v>0</v>
      </c>
      <c r="Q51" s="109">
        <f t="shared" si="5"/>
        <v>0</v>
      </c>
      <c r="R51" s="109">
        <f t="shared" si="5"/>
        <v>0</v>
      </c>
      <c r="S51" s="109">
        <f t="shared" si="5"/>
        <v>0</v>
      </c>
      <c r="T51" s="109">
        <f t="shared" si="5"/>
        <v>0</v>
      </c>
      <c r="U51" s="109">
        <f t="shared" si="5"/>
        <v>0</v>
      </c>
      <c r="V51" s="109">
        <f t="shared" si="5"/>
        <v>0</v>
      </c>
      <c r="W51" s="110">
        <f t="shared" si="5"/>
        <v>0</v>
      </c>
      <c r="X51" s="107">
        <f t="shared" si="3"/>
        <v>0</v>
      </c>
    </row>
    <row r="52" spans="1:24" ht="15" customHeight="1" x14ac:dyDescent="0.25">
      <c r="A52" s="75">
        <f>IF('Cash Flow Analysis'!C68="","",'Cash Flow Analysis'!C68)</f>
        <v>1</v>
      </c>
      <c r="B52" s="1088">
        <f ca="1">IF(A52="","",IF(A52&lt;1,0,IF(A52=1,$B$44-'Cash Flow Analysis'!I68,-'Cash Flow Analysis'!I68)))</f>
        <v>280183630.32285005</v>
      </c>
      <c r="C52" s="108">
        <f t="shared" ref="C52:W52" ca="1" si="6">IF($B$52="","",IF(AND($B$42="Straight Line",C48&lt;=depr_length),$B$52/depr_length,IF(AND($B$42="MACRS",C48&lt;=depr_length+1),$B$52*INDEX(MACRS_Table,MATCH(C48,recovery_year,0),MATCH($B$43,recovery_period,0)),"")))</f>
        <v>10506886.137106877</v>
      </c>
      <c r="D52" s="109">
        <f t="shared" ca="1" si="6"/>
        <v>20226456.273006547</v>
      </c>
      <c r="E52" s="109">
        <f t="shared" ca="1" si="6"/>
        <v>18707860.996656697</v>
      </c>
      <c r="F52" s="109">
        <f t="shared" ca="1" si="6"/>
        <v>17306942.845042448</v>
      </c>
      <c r="G52" s="109">
        <f t="shared" ca="1" si="6"/>
        <v>16006890.800344422</v>
      </c>
      <c r="H52" s="109">
        <f t="shared" ca="1" si="6"/>
        <v>14807704.862562625</v>
      </c>
      <c r="I52" s="109">
        <f t="shared" ca="1" si="6"/>
        <v>13695375.850180911</v>
      </c>
      <c r="J52" s="109">
        <f t="shared" ca="1" si="6"/>
        <v>12669903.763199281</v>
      </c>
      <c r="K52" s="109">
        <f t="shared" ca="1" si="6"/>
        <v>12501793.585005568</v>
      </c>
      <c r="L52" s="109">
        <f t="shared" ca="1" si="6"/>
        <v>12498991.74870234</v>
      </c>
      <c r="M52" s="109">
        <f t="shared" ca="1" si="6"/>
        <v>12501793.585005568</v>
      </c>
      <c r="N52" s="109">
        <f t="shared" ca="1" si="6"/>
        <v>12498991.74870234</v>
      </c>
      <c r="O52" s="109">
        <f t="shared" ca="1" si="6"/>
        <v>12501793.585005568</v>
      </c>
      <c r="P52" s="109">
        <f t="shared" ca="1" si="6"/>
        <v>12498991.74870234</v>
      </c>
      <c r="Q52" s="109">
        <f t="shared" ca="1" si="6"/>
        <v>12501793.585005568</v>
      </c>
      <c r="R52" s="109">
        <f t="shared" ca="1" si="6"/>
        <v>12498991.74870234</v>
      </c>
      <c r="S52" s="109">
        <f t="shared" ca="1" si="6"/>
        <v>12501793.585005568</v>
      </c>
      <c r="T52" s="109">
        <f t="shared" ca="1" si="6"/>
        <v>12498991.74870234</v>
      </c>
      <c r="U52" s="109">
        <f t="shared" ca="1" si="6"/>
        <v>12501793.585005568</v>
      </c>
      <c r="V52" s="109">
        <f t="shared" ca="1" si="6"/>
        <v>12498991.74870234</v>
      </c>
      <c r="W52" s="110">
        <f t="shared" ca="1" si="6"/>
        <v>6250896.7925027842</v>
      </c>
      <c r="X52" s="107">
        <f t="shared" ca="1" si="3"/>
        <v>280183630.32285011</v>
      </c>
    </row>
    <row r="53" spans="1:24" ht="15" customHeight="1" x14ac:dyDescent="0.25">
      <c r="A53" s="75">
        <f>IF('Cash Flow Analysis'!C69="","",'Cash Flow Analysis'!C69)</f>
        <v>2</v>
      </c>
      <c r="B53" s="1088">
        <f ca="1">IF(A53="","",IF(A53&lt;1,0,IF(A53=1,$B$44-'Cash Flow Analysis'!I69,-'Cash Flow Analysis'!I69)))</f>
        <v>1488489.8494578581</v>
      </c>
      <c r="C53" s="108">
        <f t="shared" ref="C53:W53" ca="1" si="7">IF($B$53="","",IF(AND($B$42="Straight Line",C48&lt;=depr_length),$B$53/depr_length,IF(AND($B$42="MACRS",C48&lt;=depr_length+1),$B$53*INDEX(MACRS_Table,MATCH(C48,recovery_year,0),MATCH($B$43,recovery_period,0)),"")))</f>
        <v>55818.369354669681</v>
      </c>
      <c r="D53" s="109">
        <f t="shared" ca="1" si="7"/>
        <v>107454.08223236278</v>
      </c>
      <c r="E53" s="109">
        <f t="shared" ca="1" si="7"/>
        <v>99386.467248301182</v>
      </c>
      <c r="F53" s="109">
        <f t="shared" ca="1" si="7"/>
        <v>91944.018001011893</v>
      </c>
      <c r="G53" s="109">
        <f t="shared" ca="1" si="7"/>
        <v>85037.425099527434</v>
      </c>
      <c r="H53" s="109">
        <f t="shared" ca="1" si="7"/>
        <v>78666.688543847806</v>
      </c>
      <c r="I53" s="109">
        <f t="shared" ca="1" si="7"/>
        <v>72757.383841500108</v>
      </c>
      <c r="J53" s="109">
        <f t="shared" ca="1" si="7"/>
        <v>67309.510992484356</v>
      </c>
      <c r="K53" s="109">
        <f t="shared" ca="1" si="7"/>
        <v>66416.417082809625</v>
      </c>
      <c r="L53" s="109">
        <f t="shared" ca="1" si="7"/>
        <v>66401.532184315045</v>
      </c>
      <c r="M53" s="109">
        <f t="shared" ca="1" si="7"/>
        <v>66416.417082809625</v>
      </c>
      <c r="N53" s="109">
        <f t="shared" ca="1" si="7"/>
        <v>66401.532184315045</v>
      </c>
      <c r="O53" s="109">
        <f t="shared" ca="1" si="7"/>
        <v>66416.417082809625</v>
      </c>
      <c r="P53" s="109">
        <f t="shared" ca="1" si="7"/>
        <v>66401.532184315045</v>
      </c>
      <c r="Q53" s="109">
        <f t="shared" ca="1" si="7"/>
        <v>66416.417082809625</v>
      </c>
      <c r="R53" s="109">
        <f t="shared" ca="1" si="7"/>
        <v>66401.532184315045</v>
      </c>
      <c r="S53" s="109">
        <f t="shared" ca="1" si="7"/>
        <v>66416.417082809625</v>
      </c>
      <c r="T53" s="109">
        <f t="shared" ca="1" si="7"/>
        <v>66401.532184315045</v>
      </c>
      <c r="U53" s="109">
        <f t="shared" ca="1" si="7"/>
        <v>66416.417082809625</v>
      </c>
      <c r="V53" s="109">
        <f t="shared" ca="1" si="7"/>
        <v>66401.532184315045</v>
      </c>
      <c r="W53" s="110">
        <f t="shared" ca="1" si="7"/>
        <v>33208.208541404812</v>
      </c>
      <c r="X53" s="107">
        <f t="shared" ca="1" si="3"/>
        <v>1488489.8494578586</v>
      </c>
    </row>
    <row r="54" spans="1:24" ht="15" customHeight="1" x14ac:dyDescent="0.25">
      <c r="A54" s="75">
        <f>IF('Cash Flow Analysis'!C70="","",'Cash Flow Analysis'!C70)</f>
        <v>3</v>
      </c>
      <c r="B54" s="1088">
        <f ca="1">IF(A54="","",IF(A54&lt;1,0,IF(A54=1,$B$44-'Cash Flow Analysis'!I70,-'Cash Flow Analysis'!I70)))</f>
        <v>1516771.1565975572</v>
      </c>
      <c r="C54" s="108">
        <f t="shared" ref="C54:W54" ca="1" si="8">IF($B$54="","",IF(AND($B$42="Straight Line",C48&lt;=depr_length),$B$54/depr_length,IF(AND($B$42="MACRS",C48&lt;=depr_length+1),$B$54*INDEX(MACRS_Table,MATCH(C48,recovery_year,0),MATCH($B$43,recovery_period,0)),"")))</f>
        <v>56878.918372408392</v>
      </c>
      <c r="D54" s="109">
        <f t="shared" ca="1" si="8"/>
        <v>109495.70979477766</v>
      </c>
      <c r="E54" s="109">
        <f t="shared" ca="1" si="8"/>
        <v>101274.81012601889</v>
      </c>
      <c r="F54" s="109">
        <f t="shared" ca="1" si="8"/>
        <v>93690.954343031102</v>
      </c>
      <c r="G54" s="109">
        <f t="shared" ca="1" si="8"/>
        <v>86653.13617641844</v>
      </c>
      <c r="H54" s="109">
        <f t="shared" ca="1" si="8"/>
        <v>80161.355626180899</v>
      </c>
      <c r="I54" s="109">
        <f t="shared" ca="1" si="8"/>
        <v>74139.774134488602</v>
      </c>
      <c r="J54" s="109">
        <f t="shared" ca="1" si="8"/>
        <v>68588.391701341548</v>
      </c>
      <c r="K54" s="109">
        <f t="shared" ca="1" si="8"/>
        <v>67678.329007382999</v>
      </c>
      <c r="L54" s="109">
        <f t="shared" ca="1" si="8"/>
        <v>67663.16129581703</v>
      </c>
      <c r="M54" s="109">
        <f t="shared" ca="1" si="8"/>
        <v>67678.329007382999</v>
      </c>
      <c r="N54" s="109">
        <f t="shared" ca="1" si="8"/>
        <v>67663.16129581703</v>
      </c>
      <c r="O54" s="109">
        <f t="shared" ca="1" si="8"/>
        <v>67678.329007382999</v>
      </c>
      <c r="P54" s="109">
        <f t="shared" ca="1" si="8"/>
        <v>67663.16129581703</v>
      </c>
      <c r="Q54" s="109">
        <f t="shared" ca="1" si="8"/>
        <v>67678.329007382999</v>
      </c>
      <c r="R54" s="109">
        <f t="shared" ca="1" si="8"/>
        <v>67663.16129581703</v>
      </c>
      <c r="S54" s="109">
        <f t="shared" ca="1" si="8"/>
        <v>67678.329007382999</v>
      </c>
      <c r="T54" s="109">
        <f t="shared" ca="1" si="8"/>
        <v>67663.16129581703</v>
      </c>
      <c r="U54" s="109">
        <f t="shared" ca="1" si="8"/>
        <v>67678.329007382999</v>
      </c>
      <c r="V54" s="109">
        <f t="shared" ca="1" si="8"/>
        <v>67663.16129581703</v>
      </c>
      <c r="W54" s="110">
        <f t="shared" ca="1" si="8"/>
        <v>33839.1645036915</v>
      </c>
      <c r="X54" s="107">
        <f t="shared" ca="1" si="3"/>
        <v>1516771.156597557</v>
      </c>
    </row>
    <row r="55" spans="1:24" ht="15" customHeight="1" x14ac:dyDescent="0.25">
      <c r="A55" s="75">
        <f>IF('Cash Flow Analysis'!C71="","",'Cash Flow Analysis'!C71)</f>
        <v>4</v>
      </c>
      <c r="B55" s="1088">
        <f ca="1">IF(A55="","",IF(A55&lt;1,0,IF(A55=1,$B$44-'Cash Flow Analysis'!I71,-'Cash Flow Analysis'!I71)))</f>
        <v>1545589.8085729107</v>
      </c>
      <c r="C55" s="108">
        <f t="shared" ref="C55:W55" ca="1" si="9">IF($B$55="","",IF(AND($B$42="Straight Line",C48&lt;=depr_length),$B$55/depr_length,IF(AND($B$42="MACRS",C48&lt;=depr_length+1),$B$55*INDEX(MACRS_Table,MATCH(C48,recovery_year,0),MATCH($B$43,recovery_period,0)),"")))</f>
        <v>57959.617821484149</v>
      </c>
      <c r="D55" s="109">
        <f t="shared" ca="1" si="9"/>
        <v>111576.12828087843</v>
      </c>
      <c r="E55" s="109">
        <f t="shared" ca="1" si="9"/>
        <v>103199.03151841325</v>
      </c>
      <c r="F55" s="109">
        <f t="shared" ca="1" si="9"/>
        <v>95471.082475548697</v>
      </c>
      <c r="G55" s="109">
        <f t="shared" ca="1" si="9"/>
        <v>88299.545763770395</v>
      </c>
      <c r="H55" s="109">
        <f t="shared" ca="1" si="9"/>
        <v>81684.421383078326</v>
      </c>
      <c r="I55" s="109">
        <f t="shared" ca="1" si="9"/>
        <v>75548.429843043879</v>
      </c>
      <c r="J55" s="109">
        <f t="shared" ca="1" si="9"/>
        <v>69891.571143667024</v>
      </c>
      <c r="K55" s="109">
        <f t="shared" ca="1" si="9"/>
        <v>68964.217258523277</v>
      </c>
      <c r="L55" s="109">
        <f t="shared" ca="1" si="9"/>
        <v>68948.761360437536</v>
      </c>
      <c r="M55" s="109">
        <f t="shared" ca="1" si="9"/>
        <v>68964.217258523277</v>
      </c>
      <c r="N55" s="109">
        <f t="shared" ca="1" si="9"/>
        <v>68948.761360437536</v>
      </c>
      <c r="O55" s="109">
        <f t="shared" ca="1" si="9"/>
        <v>68964.217258523277</v>
      </c>
      <c r="P55" s="109">
        <f t="shared" ca="1" si="9"/>
        <v>68948.761360437536</v>
      </c>
      <c r="Q55" s="109">
        <f t="shared" ca="1" si="9"/>
        <v>68964.217258523277</v>
      </c>
      <c r="R55" s="109">
        <f t="shared" ca="1" si="9"/>
        <v>68948.761360437536</v>
      </c>
      <c r="S55" s="109">
        <f t="shared" ca="1" si="9"/>
        <v>68964.217258523277</v>
      </c>
      <c r="T55" s="109">
        <f t="shared" ca="1" si="9"/>
        <v>68948.761360437536</v>
      </c>
      <c r="U55" s="109">
        <f t="shared" ca="1" si="9"/>
        <v>68964.217258523277</v>
      </c>
      <c r="V55" s="109">
        <f t="shared" ca="1" si="9"/>
        <v>68948.761360437536</v>
      </c>
      <c r="W55" s="110">
        <f t="shared" ca="1" si="9"/>
        <v>34482.108629261638</v>
      </c>
      <c r="X55" s="107">
        <f t="shared" ca="1" si="3"/>
        <v>1545589.8085729107</v>
      </c>
    </row>
    <row r="56" spans="1:24" ht="15" customHeight="1" x14ac:dyDescent="0.25">
      <c r="A56" s="75">
        <f>IF('Cash Flow Analysis'!C72="","",'Cash Flow Analysis'!C72)</f>
        <v>5</v>
      </c>
      <c r="B56" s="1088">
        <f ca="1">IF(A56="","",IF(A56&lt;1,0,IF(A56=1,$B$44-'Cash Flow Analysis'!I72,-'Cash Flow Analysis'!I72)))</f>
        <v>1574956.0149357961</v>
      </c>
      <c r="C56" s="108">
        <f t="shared" ref="C56:W56" ca="1" si="10">IF($B$56="","",IF(AND($B$42="Straight Line",C48&lt;=depr_length),$B$56/depr_length,IF(AND($B$42="MACRS",C48&lt;=depr_length+1),$B$56*INDEX(MACRS_Table,MATCH(C48,recovery_year,0),MATCH($B$43,recovery_period,0)),"")))</f>
        <v>59060.850560092353</v>
      </c>
      <c r="D56" s="109">
        <f t="shared" ca="1" si="10"/>
        <v>113696.07471821512</v>
      </c>
      <c r="E56" s="109">
        <f t="shared" ca="1" si="10"/>
        <v>105159.8131172631</v>
      </c>
      <c r="F56" s="109">
        <f t="shared" ca="1" si="10"/>
        <v>97285.033042584124</v>
      </c>
      <c r="G56" s="109">
        <f t="shared" ca="1" si="10"/>
        <v>89977.237133282033</v>
      </c>
      <c r="H56" s="109">
        <f t="shared" ca="1" si="10"/>
        <v>83236.425389356824</v>
      </c>
      <c r="I56" s="109">
        <f t="shared" ca="1" si="10"/>
        <v>76983.850010061709</v>
      </c>
      <c r="J56" s="109">
        <f t="shared" ca="1" si="10"/>
        <v>71219.510995396704</v>
      </c>
      <c r="K56" s="109">
        <f t="shared" ca="1" si="10"/>
        <v>70274.53738643523</v>
      </c>
      <c r="L56" s="109">
        <f t="shared" ca="1" si="10"/>
        <v>70258.787826285858</v>
      </c>
      <c r="M56" s="109">
        <f t="shared" ca="1" si="10"/>
        <v>70274.53738643523</v>
      </c>
      <c r="N56" s="109">
        <f t="shared" ca="1" si="10"/>
        <v>70258.787826285858</v>
      </c>
      <c r="O56" s="109">
        <f t="shared" ca="1" si="10"/>
        <v>70274.53738643523</v>
      </c>
      <c r="P56" s="109">
        <f t="shared" ca="1" si="10"/>
        <v>70258.787826285858</v>
      </c>
      <c r="Q56" s="109">
        <f t="shared" ca="1" si="10"/>
        <v>70274.53738643523</v>
      </c>
      <c r="R56" s="109">
        <f t="shared" ca="1" si="10"/>
        <v>70258.787826285858</v>
      </c>
      <c r="S56" s="109">
        <f t="shared" ca="1" si="10"/>
        <v>70274.53738643523</v>
      </c>
      <c r="T56" s="109">
        <f t="shared" ca="1" si="10"/>
        <v>70258.787826285858</v>
      </c>
      <c r="U56" s="109">
        <f t="shared" ca="1" si="10"/>
        <v>70274.53738643523</v>
      </c>
      <c r="V56" s="109">
        <f t="shared" ca="1" si="10"/>
        <v>70258.787826285858</v>
      </c>
      <c r="W56" s="110">
        <f t="shared" ca="1" si="10"/>
        <v>35137.268693217615</v>
      </c>
      <c r="X56" s="107">
        <f t="shared" ca="1" si="3"/>
        <v>1574956.0149357964</v>
      </c>
    </row>
    <row r="57" spans="1:24" ht="15" customHeight="1" x14ac:dyDescent="0.25">
      <c r="A57" s="75">
        <f>IF('Cash Flow Analysis'!C73="","",'Cash Flow Analysis'!C73)</f>
        <v>6</v>
      </c>
      <c r="B57" s="1088">
        <f ca="1">IF(A57="","",IF(A57&lt;1,0,IF(A57=1,$B$44-'Cash Flow Analysis'!I73,-'Cash Flow Analysis'!I73)))</f>
        <v>1604880.1792195761</v>
      </c>
      <c r="C57" s="108">
        <f t="shared" ref="C57:W57" ca="1" si="11">IF($B$57="","",IF(AND($B$42="Straight Line",C48&lt;=depr_length),$B$57/depr_length,IF(AND($B$42="MACRS",C48&lt;=depr_length+1),$B$57*INDEX(MACRS_Table,MATCH(C48,recovery_year,0),MATCH($B$43,recovery_period,0)),"")))</f>
        <v>60183.006720734098</v>
      </c>
      <c r="D57" s="109">
        <f t="shared" ca="1" si="11"/>
        <v>115856.30013786121</v>
      </c>
      <c r="E57" s="109">
        <f t="shared" ca="1" si="11"/>
        <v>107157.84956649109</v>
      </c>
      <c r="F57" s="109">
        <f t="shared" ca="1" si="11"/>
        <v>99133.448670393205</v>
      </c>
      <c r="G57" s="109">
        <f t="shared" ca="1" si="11"/>
        <v>91686.804638814385</v>
      </c>
      <c r="H57" s="109">
        <f t="shared" ca="1" si="11"/>
        <v>84817.917471754597</v>
      </c>
      <c r="I57" s="109">
        <f t="shared" ca="1" si="11"/>
        <v>78446.543160252884</v>
      </c>
      <c r="J57" s="109">
        <f t="shared" ca="1" si="11"/>
        <v>72572.681704309231</v>
      </c>
      <c r="K57" s="109">
        <f t="shared" ca="1" si="11"/>
        <v>71609.753596777489</v>
      </c>
      <c r="L57" s="109">
        <f t="shared" ca="1" si="11"/>
        <v>71593.704794985286</v>
      </c>
      <c r="M57" s="109">
        <f t="shared" ca="1" si="11"/>
        <v>71609.753596777489</v>
      </c>
      <c r="N57" s="109">
        <f t="shared" ca="1" si="11"/>
        <v>71593.704794985286</v>
      </c>
      <c r="O57" s="109">
        <f t="shared" ca="1" si="11"/>
        <v>71609.753596777489</v>
      </c>
      <c r="P57" s="109">
        <f t="shared" ca="1" si="11"/>
        <v>71593.704794985286</v>
      </c>
      <c r="Q57" s="109">
        <f t="shared" ca="1" si="11"/>
        <v>71609.753596777489</v>
      </c>
      <c r="R57" s="109">
        <f t="shared" ca="1" si="11"/>
        <v>71593.704794985286</v>
      </c>
      <c r="S57" s="109">
        <f t="shared" ca="1" si="11"/>
        <v>71609.753596777489</v>
      </c>
      <c r="T57" s="109">
        <f t="shared" ca="1" si="11"/>
        <v>71593.704794985286</v>
      </c>
      <c r="U57" s="109">
        <f t="shared" ca="1" si="11"/>
        <v>71609.753596777489</v>
      </c>
      <c r="V57" s="109">
        <f t="shared" ca="1" si="11"/>
        <v>71593.704794985286</v>
      </c>
      <c r="W57" s="110">
        <f t="shared" ca="1" si="11"/>
        <v>35804.876798388745</v>
      </c>
      <c r="X57" s="107">
        <f t="shared" ca="1" si="3"/>
        <v>1604880.1792195761</v>
      </c>
    </row>
    <row r="58" spans="1:24" ht="15" customHeight="1" x14ac:dyDescent="0.25">
      <c r="A58" s="75">
        <f>IF('Cash Flow Analysis'!C74="","",'Cash Flow Analysis'!C74)</f>
        <v>7</v>
      </c>
      <c r="B58" s="1088">
        <f ca="1">IF(A58="","",IF(A58&lt;1,0,IF(A58=1,$B$44-'Cash Flow Analysis'!I74,-'Cash Flow Analysis'!I74)))</f>
        <v>1635372.9026247482</v>
      </c>
      <c r="C58" s="108">
        <f t="shared" ref="C58:W58" ca="1" si="12">IF($B$58="","",IF(AND($B$42="Straight Line",C48&lt;=depr_length),$B$58/depr_length,IF(AND($B$42="MACRS",C48&lt;=depr_length+1),$B$58*INDEX(MACRS_Table,MATCH(C48,recovery_year,0),MATCH($B$43,recovery_period,0)),"")))</f>
        <v>61326.483848428055</v>
      </c>
      <c r="D58" s="109">
        <f t="shared" ca="1" si="12"/>
        <v>118057.56984048057</v>
      </c>
      <c r="E58" s="109">
        <f t="shared" ca="1" si="12"/>
        <v>109193.84870825443</v>
      </c>
      <c r="F58" s="109">
        <f t="shared" ca="1" si="12"/>
        <v>101016.98419513069</v>
      </c>
      <c r="G58" s="109">
        <f t="shared" ca="1" si="12"/>
        <v>93428.853926951866</v>
      </c>
      <c r="H58" s="109">
        <f t="shared" ca="1" si="12"/>
        <v>86429.45790371795</v>
      </c>
      <c r="I58" s="109">
        <f t="shared" ca="1" si="12"/>
        <v>79937.027480297693</v>
      </c>
      <c r="J58" s="109">
        <f t="shared" ca="1" si="12"/>
        <v>73951.562656691123</v>
      </c>
      <c r="K58" s="109">
        <f t="shared" ca="1" si="12"/>
        <v>72970.33891511627</v>
      </c>
      <c r="L58" s="109">
        <f t="shared" ca="1" si="12"/>
        <v>72953.985186090009</v>
      </c>
      <c r="M58" s="109">
        <f t="shared" ca="1" si="12"/>
        <v>72970.33891511627</v>
      </c>
      <c r="N58" s="109">
        <f t="shared" ca="1" si="12"/>
        <v>72953.985186090009</v>
      </c>
      <c r="O58" s="109">
        <f t="shared" ca="1" si="12"/>
        <v>72970.33891511627</v>
      </c>
      <c r="P58" s="109">
        <f t="shared" ca="1" si="12"/>
        <v>72953.985186090009</v>
      </c>
      <c r="Q58" s="109">
        <f t="shared" ca="1" si="12"/>
        <v>72970.33891511627</v>
      </c>
      <c r="R58" s="109">
        <f t="shared" ca="1" si="12"/>
        <v>72953.985186090009</v>
      </c>
      <c r="S58" s="109">
        <f t="shared" ca="1" si="12"/>
        <v>72970.33891511627</v>
      </c>
      <c r="T58" s="109">
        <f t="shared" ca="1" si="12"/>
        <v>72953.985186090009</v>
      </c>
      <c r="U58" s="109">
        <f t="shared" ca="1" si="12"/>
        <v>72970.33891511627</v>
      </c>
      <c r="V58" s="109">
        <f t="shared" ca="1" si="12"/>
        <v>72953.985186090009</v>
      </c>
      <c r="W58" s="110">
        <f t="shared" ca="1" si="12"/>
        <v>36485.169457558135</v>
      </c>
      <c r="X58" s="107">
        <f t="shared" ca="1" si="3"/>
        <v>1635372.9026247484</v>
      </c>
    </row>
    <row r="59" spans="1:24" ht="15" customHeight="1" x14ac:dyDescent="0.25">
      <c r="A59" s="75">
        <f>IF('Cash Flow Analysis'!C75="","",'Cash Flow Analysis'!C75)</f>
        <v>8</v>
      </c>
      <c r="B59" s="1088">
        <f ca="1">IF(A59="","",IF(A59&lt;1,0,IF(A59=1,$B$44-'Cash Flow Analysis'!I75,-'Cash Flow Analysis'!I75)))</f>
        <v>1666444.9877746182</v>
      </c>
      <c r="C59" s="108">
        <f t="shared" ref="C59:W59" ca="1" si="13">IF($B$59="","",IF(AND($B$42="Straight Line",C48&lt;=depr_length),$B$59/depr_length,IF(AND($B$42="MACRS",C48&lt;=depr_length+1),$B$59*INDEX(MACRS_Table,MATCH(C48,recovery_year,0),MATCH($B$43,recovery_period,0)),"")))</f>
        <v>62491.687041548183</v>
      </c>
      <c r="D59" s="109">
        <f t="shared" ca="1" si="13"/>
        <v>120300.6636674497</v>
      </c>
      <c r="E59" s="109">
        <f t="shared" ca="1" si="13"/>
        <v>111268.53183371125</v>
      </c>
      <c r="F59" s="109">
        <f t="shared" ca="1" si="13"/>
        <v>102936.30689483817</v>
      </c>
      <c r="G59" s="109">
        <f t="shared" ca="1" si="13"/>
        <v>95204.002151563938</v>
      </c>
      <c r="H59" s="109">
        <f t="shared" ca="1" si="13"/>
        <v>88071.617603888575</v>
      </c>
      <c r="I59" s="109">
        <f t="shared" ca="1" si="13"/>
        <v>81455.831002423336</v>
      </c>
      <c r="J59" s="109">
        <f t="shared" ca="1" si="13"/>
        <v>75356.642347168236</v>
      </c>
      <c r="K59" s="109">
        <f t="shared" ca="1" si="13"/>
        <v>74356.775354503465</v>
      </c>
      <c r="L59" s="109">
        <f t="shared" ca="1" si="13"/>
        <v>74340.110904625719</v>
      </c>
      <c r="M59" s="109">
        <f t="shared" ca="1" si="13"/>
        <v>74356.775354503465</v>
      </c>
      <c r="N59" s="109">
        <f t="shared" ca="1" si="13"/>
        <v>74340.110904625719</v>
      </c>
      <c r="O59" s="109">
        <f t="shared" ca="1" si="13"/>
        <v>74356.775354503465</v>
      </c>
      <c r="P59" s="109">
        <f t="shared" ca="1" si="13"/>
        <v>74340.110904625719</v>
      </c>
      <c r="Q59" s="109">
        <f t="shared" ca="1" si="13"/>
        <v>74356.775354503465</v>
      </c>
      <c r="R59" s="109">
        <f t="shared" ca="1" si="13"/>
        <v>74340.110904625719</v>
      </c>
      <c r="S59" s="109">
        <f t="shared" ca="1" si="13"/>
        <v>74356.775354503465</v>
      </c>
      <c r="T59" s="109">
        <f t="shared" ca="1" si="13"/>
        <v>74340.110904625719</v>
      </c>
      <c r="U59" s="109">
        <f t="shared" ca="1" si="13"/>
        <v>74356.775354503465</v>
      </c>
      <c r="V59" s="109">
        <f t="shared" ca="1" si="13"/>
        <v>74340.110904625719</v>
      </c>
      <c r="W59" s="110">
        <f t="shared" ca="1" si="13"/>
        <v>37178.387677251732</v>
      </c>
      <c r="X59" s="107">
        <f t="shared" ca="1" si="3"/>
        <v>1666444.9877746177</v>
      </c>
    </row>
    <row r="60" spans="1:24" ht="15" customHeight="1" x14ac:dyDescent="0.25">
      <c r="A60" s="75">
        <f>IF('Cash Flow Analysis'!C76="","",'Cash Flow Analysis'!C76)</f>
        <v>9</v>
      </c>
      <c r="B60" s="1088">
        <f ca="1">IF(A60="","",IF(A60&lt;1,0,IF(A60=1,$B$44-'Cash Flow Analysis'!I76,-'Cash Flow Analysis'!I76)))</f>
        <v>1698107.4425423357</v>
      </c>
      <c r="C60" s="108">
        <f t="shared" ref="C60:W60" ca="1" si="14">IF($B$60="","",IF(AND($B$42="Straight Line",C48&lt;=depr_length),$B$60/depr_length,IF(AND($B$42="MACRS",C48&lt;=depr_length+1),$B$60*INDEX(MACRS_Table,MATCH(C48,recovery_year,0),MATCH($B$43,recovery_period,0)),"")))</f>
        <v>63679.029095337588</v>
      </c>
      <c r="D60" s="109">
        <f t="shared" ca="1" si="14"/>
        <v>122586.37627713122</v>
      </c>
      <c r="E60" s="109">
        <f t="shared" ca="1" si="14"/>
        <v>113382.63393855175</v>
      </c>
      <c r="F60" s="109">
        <f t="shared" ca="1" si="14"/>
        <v>104892.09672584008</v>
      </c>
      <c r="G60" s="109">
        <f t="shared" ca="1" si="14"/>
        <v>97012.878192443633</v>
      </c>
      <c r="H60" s="109">
        <f t="shared" ca="1" si="14"/>
        <v>89744.978338362445</v>
      </c>
      <c r="I60" s="109">
        <f t="shared" ca="1" si="14"/>
        <v>83003.491791469365</v>
      </c>
      <c r="J60" s="109">
        <f t="shared" ca="1" si="14"/>
        <v>76788.418551764422</v>
      </c>
      <c r="K60" s="109">
        <f t="shared" ca="1" si="14"/>
        <v>75769.554086239019</v>
      </c>
      <c r="L60" s="109">
        <f t="shared" ca="1" si="14"/>
        <v>75752.573011813598</v>
      </c>
      <c r="M60" s="109">
        <f t="shared" ca="1" si="14"/>
        <v>75769.554086239019</v>
      </c>
      <c r="N60" s="109">
        <f t="shared" ca="1" si="14"/>
        <v>75752.573011813598</v>
      </c>
      <c r="O60" s="109">
        <f t="shared" ca="1" si="14"/>
        <v>75769.554086239019</v>
      </c>
      <c r="P60" s="109">
        <f t="shared" ca="1" si="14"/>
        <v>75752.573011813598</v>
      </c>
      <c r="Q60" s="109">
        <f t="shared" ca="1" si="14"/>
        <v>75769.554086239019</v>
      </c>
      <c r="R60" s="109">
        <f t="shared" ca="1" si="14"/>
        <v>75752.573011813598</v>
      </c>
      <c r="S60" s="109">
        <f t="shared" ca="1" si="14"/>
        <v>75769.554086239019</v>
      </c>
      <c r="T60" s="109">
        <f t="shared" ca="1" si="14"/>
        <v>75752.573011813598</v>
      </c>
      <c r="U60" s="109">
        <f t="shared" ca="1" si="14"/>
        <v>75769.554086239019</v>
      </c>
      <c r="V60" s="109">
        <f t="shared" ca="1" si="14"/>
        <v>75752.573011813598</v>
      </c>
      <c r="W60" s="110">
        <f t="shared" ca="1" si="14"/>
        <v>37884.777043119509</v>
      </c>
      <c r="X60" s="107">
        <f t="shared" ca="1" si="3"/>
        <v>1698107.4425423364</v>
      </c>
    </row>
    <row r="61" spans="1:24" ht="15" customHeight="1" x14ac:dyDescent="0.25">
      <c r="A61" s="75">
        <f>IF('Cash Flow Analysis'!C77="","",'Cash Flow Analysis'!C77)</f>
        <v>10</v>
      </c>
      <c r="B61" s="1088">
        <f ca="1">IF(A61="","",IF(A61&lt;1,0,IF(A61=1,$B$44-'Cash Flow Analysis'!I77,-'Cash Flow Analysis'!I77)))</f>
        <v>1730371.4839506401</v>
      </c>
      <c r="C61" s="108">
        <f t="shared" ref="C61:W61" ca="1" si="15">IF($B$61="","",IF(AND($B$42="Straight Line",C48&lt;=depr_length),$B$61/depr_length,IF(AND($B$42="MACRS",C48&lt;=depr_length+1),$B$61*INDEX(MACRS_Table,MATCH(C48,recovery_year,0),MATCH($B$43,recovery_period,0)),"")))</f>
        <v>64888.930648148998</v>
      </c>
      <c r="D61" s="109">
        <f t="shared" ca="1" si="15"/>
        <v>124915.51742639672</v>
      </c>
      <c r="E61" s="109">
        <f t="shared" ca="1" si="15"/>
        <v>115536.90398338423</v>
      </c>
      <c r="F61" s="109">
        <f t="shared" ca="1" si="15"/>
        <v>106885.04656363104</v>
      </c>
      <c r="G61" s="109">
        <f t="shared" ca="1" si="15"/>
        <v>98856.122878100068</v>
      </c>
      <c r="H61" s="109">
        <f t="shared" ca="1" si="15"/>
        <v>91450.132926791324</v>
      </c>
      <c r="I61" s="109">
        <f t="shared" ca="1" si="15"/>
        <v>84580.558135507294</v>
      </c>
      <c r="J61" s="109">
        <f t="shared" ca="1" si="15"/>
        <v>78247.398504247947</v>
      </c>
      <c r="K61" s="109">
        <f t="shared" ca="1" si="15"/>
        <v>77209.175613877567</v>
      </c>
      <c r="L61" s="109">
        <f t="shared" ca="1" si="15"/>
        <v>77191.871899038044</v>
      </c>
      <c r="M61" s="109">
        <f t="shared" ca="1" si="15"/>
        <v>77209.175613877567</v>
      </c>
      <c r="N61" s="109">
        <f t="shared" ca="1" si="15"/>
        <v>77191.871899038044</v>
      </c>
      <c r="O61" s="109">
        <f t="shared" ca="1" si="15"/>
        <v>77209.175613877567</v>
      </c>
      <c r="P61" s="109">
        <f t="shared" ca="1" si="15"/>
        <v>77191.871899038044</v>
      </c>
      <c r="Q61" s="109">
        <f t="shared" ca="1" si="15"/>
        <v>77209.175613877567</v>
      </c>
      <c r="R61" s="109">
        <f t="shared" ca="1" si="15"/>
        <v>77191.871899038044</v>
      </c>
      <c r="S61" s="109">
        <f t="shared" ca="1" si="15"/>
        <v>77209.175613877567</v>
      </c>
      <c r="T61" s="109">
        <f t="shared" ca="1" si="15"/>
        <v>77191.871899038044</v>
      </c>
      <c r="U61" s="109">
        <f t="shared" ca="1" si="15"/>
        <v>77209.175613877567</v>
      </c>
      <c r="V61" s="109">
        <f t="shared" ca="1" si="15"/>
        <v>77191.871899038044</v>
      </c>
      <c r="W61" s="110">
        <f t="shared" ca="1" si="15"/>
        <v>38604.587806938784</v>
      </c>
      <c r="X61" s="107">
        <f t="shared" ca="1" si="3"/>
        <v>1730371.4839506405</v>
      </c>
    </row>
    <row r="62" spans="1:24" ht="15" customHeight="1" x14ac:dyDescent="0.25">
      <c r="A62" s="75">
        <f>IF('Cash Flow Analysis'!C78="","",'Cash Flow Analysis'!C78)</f>
        <v>11</v>
      </c>
      <c r="B62" s="1088">
        <f ca="1">IF(A62="","",IF(A62&lt;1,0,IF(A62=1,$B$44-'Cash Flow Analysis'!I78,-'Cash Flow Analysis'!I78)))</f>
        <v>1763248.5421457021</v>
      </c>
      <c r="C62" s="108">
        <f t="shared" ref="C62:W62" ca="1" si="16">IF($B$62="","",IF(AND($B$42="Straight Line",C48&lt;=depr_length),$B$62/depr_length,IF(AND($B$42="MACRS",C48&lt;=depr_length+1),$B$62*INDEX(MACRS_Table,MATCH(C48,recovery_year,0),MATCH($B$43,recovery_period,0)),"")))</f>
        <v>66121.82033046383</v>
      </c>
      <c r="D62" s="109">
        <f t="shared" ca="1" si="16"/>
        <v>127288.91225749823</v>
      </c>
      <c r="E62" s="109">
        <f t="shared" ca="1" si="16"/>
        <v>117732.10515906852</v>
      </c>
      <c r="F62" s="109">
        <f t="shared" ca="1" si="16"/>
        <v>108915.86244834002</v>
      </c>
      <c r="G62" s="109">
        <f t="shared" ca="1" si="16"/>
        <v>100734.38921278396</v>
      </c>
      <c r="H62" s="109">
        <f t="shared" ca="1" si="16"/>
        <v>93187.685452400357</v>
      </c>
      <c r="I62" s="109">
        <f t="shared" ca="1" si="16"/>
        <v>86187.588740081919</v>
      </c>
      <c r="J62" s="109">
        <f t="shared" ca="1" si="16"/>
        <v>79734.09907582865</v>
      </c>
      <c r="K62" s="109">
        <f t="shared" ca="1" si="16"/>
        <v>78676.149950541221</v>
      </c>
      <c r="L62" s="109">
        <f t="shared" ca="1" si="16"/>
        <v>78658.517465119759</v>
      </c>
      <c r="M62" s="109">
        <f t="shared" ca="1" si="16"/>
        <v>78676.149950541221</v>
      </c>
      <c r="N62" s="109">
        <f t="shared" ca="1" si="16"/>
        <v>78658.517465119759</v>
      </c>
      <c r="O62" s="109">
        <f t="shared" ca="1" si="16"/>
        <v>78676.149950541221</v>
      </c>
      <c r="P62" s="109">
        <f t="shared" ca="1" si="16"/>
        <v>78658.517465119759</v>
      </c>
      <c r="Q62" s="109">
        <f t="shared" ca="1" si="16"/>
        <v>78676.149950541221</v>
      </c>
      <c r="R62" s="109">
        <f t="shared" ca="1" si="16"/>
        <v>78658.517465119759</v>
      </c>
      <c r="S62" s="109">
        <f t="shared" ca="1" si="16"/>
        <v>78676.149950541221</v>
      </c>
      <c r="T62" s="109">
        <f t="shared" ca="1" si="16"/>
        <v>78658.517465119759</v>
      </c>
      <c r="U62" s="109">
        <f t="shared" ca="1" si="16"/>
        <v>78676.149950541221</v>
      </c>
      <c r="V62" s="109">
        <f t="shared" ca="1" si="16"/>
        <v>78658.517465119759</v>
      </c>
      <c r="W62" s="110">
        <f t="shared" ca="1" si="16"/>
        <v>39338.074975270611</v>
      </c>
      <c r="X62" s="107">
        <f t="shared" ca="1" si="3"/>
        <v>1763248.5421457021</v>
      </c>
    </row>
    <row r="63" spans="1:24" ht="15" customHeight="1" x14ac:dyDescent="0.25">
      <c r="A63" s="75">
        <f>IF('Cash Flow Analysis'!C79="","",'Cash Flow Analysis'!C79)</f>
        <v>12</v>
      </c>
      <c r="B63" s="1088">
        <f ca="1">IF(A63="","",IF(A63&lt;1,0,IF(A63=1,$B$44-'Cash Flow Analysis'!I79,-'Cash Flow Analysis'!I79)))</f>
        <v>1796750.2644464707</v>
      </c>
      <c r="C63" s="108">
        <f t="shared" ref="C63:W63" ca="1" si="17">IF($B$63="","",IF(AND($B$42="Straight Line",C48&lt;=depr_length),$B$63/depr_length,IF(AND($B$42="MACRS",C48&lt;=depr_length+1),$B$63*INDEX(MACRS_Table,MATCH(C48,recovery_year,0),MATCH($B$43,recovery_period,0)),"")))</f>
        <v>67378.134916742652</v>
      </c>
      <c r="D63" s="109">
        <f t="shared" ca="1" si="17"/>
        <v>129707.40159039073</v>
      </c>
      <c r="E63" s="109">
        <f t="shared" ca="1" si="17"/>
        <v>119969.01515709083</v>
      </c>
      <c r="F63" s="109">
        <f t="shared" ca="1" si="17"/>
        <v>110985.26383485849</v>
      </c>
      <c r="G63" s="109">
        <f t="shared" ca="1" si="17"/>
        <v>102648.34260782687</v>
      </c>
      <c r="H63" s="109">
        <f t="shared" ca="1" si="17"/>
        <v>94958.251475995974</v>
      </c>
      <c r="I63" s="109">
        <f t="shared" ca="1" si="17"/>
        <v>87825.152926143492</v>
      </c>
      <c r="J63" s="109">
        <f t="shared" ca="1" si="17"/>
        <v>81249.046958269406</v>
      </c>
      <c r="K63" s="109">
        <f t="shared" ca="1" si="17"/>
        <v>80170.996799601518</v>
      </c>
      <c r="L63" s="109">
        <f t="shared" ca="1" si="17"/>
        <v>80153.029296957044</v>
      </c>
      <c r="M63" s="109">
        <f t="shared" ca="1" si="17"/>
        <v>80170.996799601518</v>
      </c>
      <c r="N63" s="109">
        <f t="shared" ca="1" si="17"/>
        <v>80153.029296957044</v>
      </c>
      <c r="O63" s="109">
        <f t="shared" ca="1" si="17"/>
        <v>80170.996799601518</v>
      </c>
      <c r="P63" s="109">
        <f t="shared" ca="1" si="17"/>
        <v>80153.029296957044</v>
      </c>
      <c r="Q63" s="109">
        <f t="shared" ca="1" si="17"/>
        <v>80170.996799601518</v>
      </c>
      <c r="R63" s="109">
        <f t="shared" ca="1" si="17"/>
        <v>80153.029296957044</v>
      </c>
      <c r="S63" s="109">
        <f t="shared" ca="1" si="17"/>
        <v>80170.996799601518</v>
      </c>
      <c r="T63" s="109">
        <f t="shared" ca="1" si="17"/>
        <v>80153.029296957044</v>
      </c>
      <c r="U63" s="109">
        <f t="shared" ca="1" si="17"/>
        <v>80170.996799601518</v>
      </c>
      <c r="V63" s="109">
        <f t="shared" ca="1" si="17"/>
        <v>80153.029296957044</v>
      </c>
      <c r="W63" s="110">
        <f t="shared" ca="1" si="17"/>
        <v>40085.498399800759</v>
      </c>
      <c r="X63" s="107">
        <f t="shared" ca="1" si="3"/>
        <v>1796750.2644464702</v>
      </c>
    </row>
    <row r="64" spans="1:24" ht="15" customHeight="1" x14ac:dyDescent="0.25">
      <c r="A64" s="75">
        <f>IF('Cash Flow Analysis'!C80="","",'Cash Flow Analysis'!C80)</f>
        <v>13</v>
      </c>
      <c r="B64" s="1088">
        <f ca="1">IF(A64="","",IF(A64&lt;1,0,IF(A64=1,$B$44-'Cash Flow Analysis'!I80,-'Cash Flow Analysis'!I80)))</f>
        <v>1830888.5194709534</v>
      </c>
      <c r="C64" s="108">
        <f t="shared" ref="C64:W64" ca="1" si="18">IF($B$64="","",IF(AND($B$42="Straight Line",C48&lt;=depr_length),$B$64/depr_length,IF(AND($B$42="MACRS",C48&lt;=depr_length+1),$B$64*INDEX(MACRS_Table,MATCH(C48,recovery_year,0),MATCH($B$43,recovery_period,0)),"")))</f>
        <v>68658.319480160746</v>
      </c>
      <c r="D64" s="109">
        <f t="shared" ca="1" si="18"/>
        <v>132171.84222060814</v>
      </c>
      <c r="E64" s="109">
        <f t="shared" ca="1" si="18"/>
        <v>122248.42644507554</v>
      </c>
      <c r="F64" s="109">
        <f t="shared" ca="1" si="18"/>
        <v>113093.98384772078</v>
      </c>
      <c r="G64" s="109">
        <f t="shared" ca="1" si="18"/>
        <v>104598.66111737557</v>
      </c>
      <c r="H64" s="109">
        <f t="shared" ca="1" si="18"/>
        <v>96762.458254039884</v>
      </c>
      <c r="I64" s="109">
        <f t="shared" ca="1" si="18"/>
        <v>89493.830831740197</v>
      </c>
      <c r="J64" s="109">
        <f t="shared" ca="1" si="18"/>
        <v>82792.778850476519</v>
      </c>
      <c r="K64" s="109">
        <f t="shared" ca="1" si="18"/>
        <v>81694.245738793936</v>
      </c>
      <c r="L64" s="109">
        <f t="shared" ca="1" si="18"/>
        <v>81675.936853599225</v>
      </c>
      <c r="M64" s="109">
        <f t="shared" ca="1" si="18"/>
        <v>81694.245738793936</v>
      </c>
      <c r="N64" s="109">
        <f t="shared" ca="1" si="18"/>
        <v>81675.936853599225</v>
      </c>
      <c r="O64" s="109">
        <f t="shared" ca="1" si="18"/>
        <v>81694.245738793936</v>
      </c>
      <c r="P64" s="109">
        <f t="shared" ca="1" si="18"/>
        <v>81675.936853599225</v>
      </c>
      <c r="Q64" s="109">
        <f t="shared" ca="1" si="18"/>
        <v>81694.245738793936</v>
      </c>
      <c r="R64" s="109">
        <f t="shared" ca="1" si="18"/>
        <v>81675.936853599225</v>
      </c>
      <c r="S64" s="109">
        <f t="shared" ca="1" si="18"/>
        <v>81694.245738793936</v>
      </c>
      <c r="T64" s="109">
        <f t="shared" ca="1" si="18"/>
        <v>81675.936853599225</v>
      </c>
      <c r="U64" s="109">
        <f t="shared" ca="1" si="18"/>
        <v>81694.245738793936</v>
      </c>
      <c r="V64" s="109">
        <f t="shared" ca="1" si="18"/>
        <v>81675.936853599225</v>
      </c>
      <c r="W64" s="110">
        <f t="shared" ca="1" si="18"/>
        <v>40847.122869396968</v>
      </c>
      <c r="X64" s="107">
        <f t="shared" ca="1" si="3"/>
        <v>1830888.5194709534</v>
      </c>
    </row>
    <row r="65" spans="1:24" ht="15" customHeight="1" x14ac:dyDescent="0.25">
      <c r="A65" s="75">
        <f>IF('Cash Flow Analysis'!C81="","",'Cash Flow Analysis'!C81)</f>
        <v>14</v>
      </c>
      <c r="B65" s="1088">
        <f ca="1">IF(A65="","",IF(A65&lt;1,0,IF(A65=1,$B$44-'Cash Flow Analysis'!I81,-'Cash Flow Analysis'!I81)))</f>
        <v>1865675.4013409009</v>
      </c>
      <c r="C65" s="108">
        <f t="shared" ref="C65:W65" ca="1" si="19">IF($B$65="","",IF(AND($B$42="Straight Line",C48&lt;=depr_length),$B$65/depr_length,IF(AND($B$42="MACRS",C48&lt;=depr_length+1),$B$65*INDEX(MACRS_Table,MATCH(C48,recovery_year,0),MATCH($B$43,recovery_period,0)),"")))</f>
        <v>69962.827550283779</v>
      </c>
      <c r="D65" s="109">
        <f t="shared" ca="1" si="19"/>
        <v>134683.10722279965</v>
      </c>
      <c r="E65" s="109">
        <f t="shared" ca="1" si="19"/>
        <v>124571.14654753194</v>
      </c>
      <c r="F65" s="109">
        <f t="shared" ca="1" si="19"/>
        <v>115242.76954082744</v>
      </c>
      <c r="G65" s="109">
        <f t="shared" ca="1" si="19"/>
        <v>106586.03567860567</v>
      </c>
      <c r="H65" s="109">
        <f t="shared" ca="1" si="19"/>
        <v>98600.944960866618</v>
      </c>
      <c r="I65" s="109">
        <f t="shared" ca="1" si="19"/>
        <v>91194.213617543239</v>
      </c>
      <c r="J65" s="109">
        <f t="shared" ca="1" si="19"/>
        <v>84365.841648635542</v>
      </c>
      <c r="K65" s="109">
        <f t="shared" ca="1" si="19"/>
        <v>83246.436407831003</v>
      </c>
      <c r="L65" s="109">
        <f t="shared" ca="1" si="19"/>
        <v>83227.77965381759</v>
      </c>
      <c r="M65" s="109">
        <f t="shared" ca="1" si="19"/>
        <v>83246.436407831003</v>
      </c>
      <c r="N65" s="109">
        <f t="shared" ca="1" si="19"/>
        <v>83227.77965381759</v>
      </c>
      <c r="O65" s="109">
        <f t="shared" ca="1" si="19"/>
        <v>83246.436407831003</v>
      </c>
      <c r="P65" s="109">
        <f t="shared" ca="1" si="19"/>
        <v>83227.77965381759</v>
      </c>
      <c r="Q65" s="109">
        <f t="shared" ca="1" si="19"/>
        <v>83246.436407831003</v>
      </c>
      <c r="R65" s="109">
        <f t="shared" ca="1" si="19"/>
        <v>83227.77965381759</v>
      </c>
      <c r="S65" s="109">
        <f t="shared" ca="1" si="19"/>
        <v>83246.436407831003</v>
      </c>
      <c r="T65" s="109">
        <f t="shared" ca="1" si="19"/>
        <v>83227.77965381759</v>
      </c>
      <c r="U65" s="109">
        <f t="shared" ca="1" si="19"/>
        <v>83246.436407831003</v>
      </c>
      <c r="V65" s="109">
        <f t="shared" ca="1" si="19"/>
        <v>83227.77965381759</v>
      </c>
      <c r="W65" s="110">
        <f t="shared" ca="1" si="19"/>
        <v>41623.218203915501</v>
      </c>
      <c r="X65" s="107">
        <f t="shared" ca="1" si="3"/>
        <v>1865675.4013409014</v>
      </c>
    </row>
    <row r="66" spans="1:24" ht="15" customHeight="1" x14ac:dyDescent="0.25">
      <c r="A66" s="75">
        <f>IF('Cash Flow Analysis'!C82="","",'Cash Flow Analysis'!C82)</f>
        <v>15</v>
      </c>
      <c r="B66" s="1088">
        <f ca="1">IF(A66="","",IF(A66&lt;1,0,IF(A66=1,$B$44-'Cash Flow Analysis'!I82,-'Cash Flow Analysis'!I82)))</f>
        <v>1901123.2339663785</v>
      </c>
      <c r="C66" s="108">
        <f t="shared" ref="C66:W66" ca="1" si="20">IF($B$66="","",IF(AND($B$42="Straight Line",C48&lt;=depr_length),$B$66/depr_length,IF(AND($B$42="MACRS",C48&lt;=depr_length+1),$B$66*INDEX(MACRS_Table,MATCH(C48,recovery_year,0),MATCH($B$43,recovery_period,0)),"")))</f>
        <v>71292.121273739191</v>
      </c>
      <c r="D66" s="109">
        <f t="shared" ca="1" si="20"/>
        <v>137242.08626003287</v>
      </c>
      <c r="E66" s="109">
        <f t="shared" ca="1" si="20"/>
        <v>126937.99833193509</v>
      </c>
      <c r="F66" s="109">
        <f t="shared" ca="1" si="20"/>
        <v>117432.3821621032</v>
      </c>
      <c r="G66" s="109">
        <f t="shared" ca="1" si="20"/>
        <v>108611.17035649921</v>
      </c>
      <c r="H66" s="109">
        <f t="shared" ca="1" si="20"/>
        <v>100474.3629151231</v>
      </c>
      <c r="I66" s="109">
        <f t="shared" ca="1" si="20"/>
        <v>92926.903676276575</v>
      </c>
      <c r="J66" s="109">
        <f t="shared" ca="1" si="20"/>
        <v>85968.792639959647</v>
      </c>
      <c r="K66" s="109">
        <f t="shared" ca="1" si="20"/>
        <v>84828.118699579805</v>
      </c>
      <c r="L66" s="109">
        <f t="shared" ca="1" si="20"/>
        <v>84809.107467240145</v>
      </c>
      <c r="M66" s="109">
        <f t="shared" ca="1" si="20"/>
        <v>84828.118699579805</v>
      </c>
      <c r="N66" s="109">
        <f t="shared" ca="1" si="20"/>
        <v>84809.107467240145</v>
      </c>
      <c r="O66" s="109">
        <f t="shared" ca="1" si="20"/>
        <v>84828.118699579805</v>
      </c>
      <c r="P66" s="109">
        <f t="shared" ca="1" si="20"/>
        <v>84809.107467240145</v>
      </c>
      <c r="Q66" s="109">
        <f t="shared" ca="1" si="20"/>
        <v>84828.118699579805</v>
      </c>
      <c r="R66" s="109">
        <f t="shared" ca="1" si="20"/>
        <v>84809.107467240145</v>
      </c>
      <c r="S66" s="109">
        <f t="shared" ca="1" si="20"/>
        <v>84828.118699579805</v>
      </c>
      <c r="T66" s="109">
        <f t="shared" ca="1" si="20"/>
        <v>84809.107467240145</v>
      </c>
      <c r="U66" s="109">
        <f t="shared" ca="1" si="20"/>
        <v>84828.118699579805</v>
      </c>
      <c r="V66" s="109">
        <f t="shared" ca="1" si="20"/>
        <v>84809.107467240145</v>
      </c>
      <c r="W66" s="110">
        <f t="shared" ca="1" si="20"/>
        <v>42414.059349789903</v>
      </c>
      <c r="X66" s="107">
        <f t="shared" ca="1" si="3"/>
        <v>1901123.2339663785</v>
      </c>
    </row>
    <row r="67" spans="1:24" ht="15" customHeight="1" x14ac:dyDescent="0.25">
      <c r="A67" s="75">
        <f>IF('Cash Flow Analysis'!C83="","",'Cash Flow Analysis'!C83)</f>
        <v>16</v>
      </c>
      <c r="B67" s="1088">
        <f ca="1">IF(A67="","",IF(A67&lt;1,0,IF(A67=1,$B$44-'Cash Flow Analysis'!I83,-'Cash Flow Analysis'!I83)))</f>
        <v>1937244.5754117395</v>
      </c>
      <c r="C67" s="108">
        <f t="shared" ref="C67:W67" ca="1" si="21">IF($B$67="","",IF(AND($B$42="Straight Line",C48&lt;=depr_length),$B$67/depr_length,IF(AND($B$42="MACRS",C48&lt;=depr_length+1),$B$67*INDEX(MACRS_Table,MATCH(C48,recovery_year,0),MATCH($B$43,recovery_period,0)),"")))</f>
        <v>72646.671577940229</v>
      </c>
      <c r="D67" s="109">
        <f t="shared" ca="1" si="21"/>
        <v>139849.68589897349</v>
      </c>
      <c r="E67" s="109">
        <f t="shared" ca="1" si="21"/>
        <v>129349.82030024184</v>
      </c>
      <c r="F67" s="109">
        <f t="shared" ca="1" si="21"/>
        <v>119663.59742318315</v>
      </c>
      <c r="G67" s="109">
        <f t="shared" ca="1" si="21"/>
        <v>110674.78259327268</v>
      </c>
      <c r="H67" s="109">
        <f t="shared" ca="1" si="21"/>
        <v>102383.37581051044</v>
      </c>
      <c r="I67" s="109">
        <f t="shared" ca="1" si="21"/>
        <v>94692.514846125821</v>
      </c>
      <c r="J67" s="109">
        <f t="shared" ca="1" si="21"/>
        <v>87602.199700118872</v>
      </c>
      <c r="K67" s="109">
        <f t="shared" ca="1" si="21"/>
        <v>86439.852954871822</v>
      </c>
      <c r="L67" s="109">
        <f t="shared" ca="1" si="21"/>
        <v>86420.480509117697</v>
      </c>
      <c r="M67" s="109">
        <f t="shared" ca="1" si="21"/>
        <v>86439.852954871822</v>
      </c>
      <c r="N67" s="109">
        <f t="shared" ca="1" si="21"/>
        <v>86420.480509117697</v>
      </c>
      <c r="O67" s="109">
        <f t="shared" ca="1" si="21"/>
        <v>86439.852954871822</v>
      </c>
      <c r="P67" s="109">
        <f t="shared" ca="1" si="21"/>
        <v>86420.480509117697</v>
      </c>
      <c r="Q67" s="109">
        <f t="shared" ca="1" si="21"/>
        <v>86439.852954871822</v>
      </c>
      <c r="R67" s="109">
        <f t="shared" ca="1" si="21"/>
        <v>86420.480509117697</v>
      </c>
      <c r="S67" s="109">
        <f t="shared" ca="1" si="21"/>
        <v>86439.852954871822</v>
      </c>
      <c r="T67" s="109">
        <f t="shared" ca="1" si="21"/>
        <v>86420.480509117697</v>
      </c>
      <c r="U67" s="109">
        <f t="shared" ca="1" si="21"/>
        <v>86439.852954871822</v>
      </c>
      <c r="V67" s="109">
        <f t="shared" ca="1" si="21"/>
        <v>86420.480509117697</v>
      </c>
      <c r="W67" s="110">
        <f t="shared" ca="1" si="21"/>
        <v>43219.926477435911</v>
      </c>
      <c r="X67" s="107">
        <f t="shared" ca="1" si="3"/>
        <v>1937244.5754117393</v>
      </c>
    </row>
    <row r="68" spans="1:24" ht="15" customHeight="1" x14ac:dyDescent="0.25">
      <c r="A68" s="75">
        <f>IF('Cash Flow Analysis'!C84="","",'Cash Flow Analysis'!C84)</f>
        <v>17</v>
      </c>
      <c r="B68" s="1088">
        <f ca="1">IF(A68="","",IF(A68&lt;1,0,IF(A68=1,$B$44-'Cash Flow Analysis'!I84,-'Cash Flow Analysis'!I84)))</f>
        <v>1974052.2223445626</v>
      </c>
      <c r="C68" s="108">
        <f t="shared" ref="C68:W68" ca="1" si="22">IF($B$68="","",IF(AND($B$42="Straight Line",C48&lt;=depr_length),$B$68/depr_length,IF(AND($B$42="MACRS",C48&lt;=depr_length+1),$B$68*INDEX(MACRS_Table,MATCH(C48,recovery_year,0),MATCH($B$43,recovery_period,0)),"")))</f>
        <v>74026.958337921096</v>
      </c>
      <c r="D68" s="109">
        <f t="shared" ca="1" si="22"/>
        <v>142506.82993105397</v>
      </c>
      <c r="E68" s="109">
        <f t="shared" ca="1" si="22"/>
        <v>131807.46688594643</v>
      </c>
      <c r="F68" s="109">
        <f t="shared" ca="1" si="22"/>
        <v>121937.20577422364</v>
      </c>
      <c r="G68" s="109">
        <f t="shared" ca="1" si="22"/>
        <v>112777.60346254487</v>
      </c>
      <c r="H68" s="109">
        <f t="shared" ca="1" si="22"/>
        <v>104328.65995091014</v>
      </c>
      <c r="I68" s="109">
        <f t="shared" ca="1" si="22"/>
        <v>96491.672628202228</v>
      </c>
      <c r="J68" s="109">
        <f t="shared" ca="1" si="22"/>
        <v>89266.641494421128</v>
      </c>
      <c r="K68" s="109">
        <f t="shared" ca="1" si="22"/>
        <v>88082.210161014387</v>
      </c>
      <c r="L68" s="109">
        <f t="shared" ca="1" si="22"/>
        <v>88062.469638790935</v>
      </c>
      <c r="M68" s="109">
        <f t="shared" ca="1" si="22"/>
        <v>88082.210161014387</v>
      </c>
      <c r="N68" s="109">
        <f t="shared" ca="1" si="22"/>
        <v>88062.469638790935</v>
      </c>
      <c r="O68" s="109">
        <f t="shared" ca="1" si="22"/>
        <v>88082.210161014387</v>
      </c>
      <c r="P68" s="109">
        <f t="shared" ca="1" si="22"/>
        <v>88062.469638790935</v>
      </c>
      <c r="Q68" s="109">
        <f t="shared" ca="1" si="22"/>
        <v>88082.210161014387</v>
      </c>
      <c r="R68" s="109">
        <f t="shared" ca="1" si="22"/>
        <v>88062.469638790935</v>
      </c>
      <c r="S68" s="109">
        <f t="shared" ca="1" si="22"/>
        <v>88082.210161014387</v>
      </c>
      <c r="T68" s="109">
        <f t="shared" ca="1" si="22"/>
        <v>88062.469638790935</v>
      </c>
      <c r="U68" s="109">
        <f t="shared" ca="1" si="22"/>
        <v>88082.210161014387</v>
      </c>
      <c r="V68" s="109">
        <f t="shared" ca="1" si="22"/>
        <v>88062.469638790935</v>
      </c>
      <c r="W68" s="110">
        <f t="shared" ca="1" si="22"/>
        <v>44041.105080507194</v>
      </c>
      <c r="X68" s="107">
        <f t="shared" ca="1" si="3"/>
        <v>1974052.2223445629</v>
      </c>
    </row>
    <row r="69" spans="1:24" ht="15" customHeight="1" x14ac:dyDescent="0.25">
      <c r="A69" s="75">
        <f>IF('Cash Flow Analysis'!C85="","",'Cash Flow Analysis'!C85)</f>
        <v>18</v>
      </c>
      <c r="B69" s="1088">
        <f ca="1">IF(A69="","",IF(A69&lt;1,0,IF(A69=1,$B$44-'Cash Flow Analysis'!I85,-'Cash Flow Analysis'!I85)))</f>
        <v>2011559.2145691093</v>
      </c>
      <c r="C69" s="108">
        <f t="shared" ref="C69:W69" ca="1" si="23">IF($B$69="","",IF(AND($B$42="Straight Line",C48&lt;=depr_length),$B$69/depr_length,IF(AND($B$42="MACRS",C48&lt;=depr_length+1),$B$69*INDEX(MACRS_Table,MATCH(C48,recovery_year,0),MATCH($B$43,recovery_period,0)),"")))</f>
        <v>75433.470546341588</v>
      </c>
      <c r="D69" s="109">
        <f t="shared" ca="1" si="23"/>
        <v>145214.45969974401</v>
      </c>
      <c r="E69" s="109">
        <f t="shared" ca="1" si="23"/>
        <v>134311.80875677941</v>
      </c>
      <c r="F69" s="109">
        <f t="shared" ca="1" si="23"/>
        <v>124254.01268393388</v>
      </c>
      <c r="G69" s="109">
        <f t="shared" ca="1" si="23"/>
        <v>114920.37792833321</v>
      </c>
      <c r="H69" s="109">
        <f t="shared" ca="1" si="23"/>
        <v>106310.90448997743</v>
      </c>
      <c r="I69" s="109">
        <f t="shared" ca="1" si="23"/>
        <v>98325.014408138057</v>
      </c>
      <c r="J69" s="109">
        <f t="shared" ca="1" si="23"/>
        <v>90962.707682815133</v>
      </c>
      <c r="K69" s="109">
        <f t="shared" ca="1" si="23"/>
        <v>89755.772154073653</v>
      </c>
      <c r="L69" s="109">
        <f t="shared" ca="1" si="23"/>
        <v>89735.656561927957</v>
      </c>
      <c r="M69" s="109">
        <f t="shared" ca="1" si="23"/>
        <v>89755.772154073653</v>
      </c>
      <c r="N69" s="109">
        <f t="shared" ca="1" si="23"/>
        <v>89735.656561927957</v>
      </c>
      <c r="O69" s="109">
        <f t="shared" ca="1" si="23"/>
        <v>89755.772154073653</v>
      </c>
      <c r="P69" s="109">
        <f t="shared" ca="1" si="23"/>
        <v>89735.656561927957</v>
      </c>
      <c r="Q69" s="109">
        <f t="shared" ca="1" si="23"/>
        <v>89755.772154073653</v>
      </c>
      <c r="R69" s="109">
        <f t="shared" ca="1" si="23"/>
        <v>89735.656561927957</v>
      </c>
      <c r="S69" s="109">
        <f t="shared" ca="1" si="23"/>
        <v>89755.772154073653</v>
      </c>
      <c r="T69" s="109">
        <f t="shared" ca="1" si="23"/>
        <v>89735.656561927957</v>
      </c>
      <c r="U69" s="109">
        <f t="shared" ca="1" si="23"/>
        <v>89755.772154073653</v>
      </c>
      <c r="V69" s="109">
        <f t="shared" ca="1" si="23"/>
        <v>89735.656561927957</v>
      </c>
      <c r="W69" s="110">
        <f t="shared" ca="1" si="23"/>
        <v>44877.886077036826</v>
      </c>
      <c r="X69" s="107">
        <f t="shared" ca="1" si="3"/>
        <v>2011559.214569109</v>
      </c>
    </row>
    <row r="70" spans="1:24" ht="15" customHeight="1" x14ac:dyDescent="0.25">
      <c r="A70" s="75">
        <f>IF('Cash Flow Analysis'!C86="","",'Cash Flow Analysis'!C86)</f>
        <v>19</v>
      </c>
      <c r="B70" s="1088">
        <f ca="1">IF(A70="","",IF(A70&lt;1,0,IF(A70=1,$B$44-'Cash Flow Analysis'!I86,-'Cash Flow Analysis'!I86)))</f>
        <v>2049778.839645922</v>
      </c>
      <c r="C70" s="108">
        <f t="shared" ref="C70:W70" ca="1" si="24">IF($B$70="","",IF(AND($B$42="Straight Line",C48&lt;=depr_length),$B$70/depr_length,IF(AND($B$42="MACRS",C48&lt;=depr_length+1),$B$70*INDEX(MACRS_Table,MATCH(C48,recovery_year,0),MATCH($B$43,recovery_period,0)),"")))</f>
        <v>76866.706486722076</v>
      </c>
      <c r="D70" s="109">
        <f t="shared" ca="1" si="24"/>
        <v>147973.53443403912</v>
      </c>
      <c r="E70" s="109">
        <f t="shared" ca="1" si="24"/>
        <v>136863.73312315819</v>
      </c>
      <c r="F70" s="109">
        <f t="shared" ca="1" si="24"/>
        <v>126614.8389249286</v>
      </c>
      <c r="G70" s="109">
        <f t="shared" ca="1" si="24"/>
        <v>117103.86510897153</v>
      </c>
      <c r="H70" s="109">
        <f t="shared" ca="1" si="24"/>
        <v>108330.81167528698</v>
      </c>
      <c r="I70" s="109">
        <f t="shared" ca="1" si="24"/>
        <v>100193.18968189266</v>
      </c>
      <c r="J70" s="109">
        <f t="shared" ca="1" si="24"/>
        <v>92690.999128788593</v>
      </c>
      <c r="K70" s="109">
        <f t="shared" ca="1" si="24"/>
        <v>91461.131825001037</v>
      </c>
      <c r="L70" s="109">
        <f t="shared" ca="1" si="24"/>
        <v>91440.634036604577</v>
      </c>
      <c r="M70" s="109">
        <f t="shared" ca="1" si="24"/>
        <v>91461.131825001037</v>
      </c>
      <c r="N70" s="109">
        <f t="shared" ca="1" si="24"/>
        <v>91440.634036604577</v>
      </c>
      <c r="O70" s="109">
        <f t="shared" ca="1" si="24"/>
        <v>91461.131825001037</v>
      </c>
      <c r="P70" s="109">
        <f t="shared" ca="1" si="24"/>
        <v>91440.634036604577</v>
      </c>
      <c r="Q70" s="109">
        <f t="shared" ca="1" si="24"/>
        <v>91461.131825001037</v>
      </c>
      <c r="R70" s="109">
        <f t="shared" ca="1" si="24"/>
        <v>91440.634036604577</v>
      </c>
      <c r="S70" s="109">
        <f t="shared" ca="1" si="24"/>
        <v>91461.131825001037</v>
      </c>
      <c r="T70" s="109">
        <f t="shared" ca="1" si="24"/>
        <v>91440.634036604577</v>
      </c>
      <c r="U70" s="109">
        <f t="shared" ca="1" si="24"/>
        <v>91461.131825001037</v>
      </c>
      <c r="V70" s="109">
        <f t="shared" ca="1" si="24"/>
        <v>91440.634036604577</v>
      </c>
      <c r="W70" s="110">
        <f t="shared" ca="1" si="24"/>
        <v>45730.565912500519</v>
      </c>
      <c r="X70" s="107">
        <f t="shared" ca="1" si="3"/>
        <v>2049778.8396459213</v>
      </c>
    </row>
    <row r="71" spans="1:24" ht="15" customHeight="1" x14ac:dyDescent="0.25">
      <c r="A71" s="75">
        <f>IF('Cash Flow Analysis'!C87="","",'Cash Flow Analysis'!C87)</f>
        <v>20</v>
      </c>
      <c r="B71" s="1088">
        <f ca="1">IF(A71="","",IF(A71&lt;1,0,IF(A71=1,$B$44-'Cash Flow Analysis'!I87,-'Cash Flow Analysis'!I87)))</f>
        <v>2088724.6375991947</v>
      </c>
      <c r="C71" s="108">
        <f t="shared" ref="C71:W71" ca="1" si="25">IF($B$71="","",IF(AND($B$42="Straight Line",C48&lt;=depr_length),$B$71/depr_length,IF(AND($B$42="MACRS",C48&lt;=depr_length+1),$B$71*INDEX(MACRS_Table,MATCH(C48,recovery_year,0),MATCH($B$43,recovery_period,0)),"")))</f>
        <v>78327.173909969802</v>
      </c>
      <c r="D71" s="109">
        <f t="shared" ca="1" si="25"/>
        <v>150785.03158828587</v>
      </c>
      <c r="E71" s="109">
        <f t="shared" ca="1" si="25"/>
        <v>139464.14405249822</v>
      </c>
      <c r="F71" s="109">
        <f t="shared" ca="1" si="25"/>
        <v>129020.52086450225</v>
      </c>
      <c r="G71" s="109">
        <f t="shared" ca="1" si="25"/>
        <v>119328.838546042</v>
      </c>
      <c r="H71" s="109">
        <f t="shared" ca="1" si="25"/>
        <v>110389.09709711744</v>
      </c>
      <c r="I71" s="109">
        <f t="shared" ca="1" si="25"/>
        <v>102096.86028584864</v>
      </c>
      <c r="J71" s="109">
        <f t="shared" ca="1" si="25"/>
        <v>94452.128112235587</v>
      </c>
      <c r="K71" s="109">
        <f t="shared" ca="1" si="25"/>
        <v>93198.893329676066</v>
      </c>
      <c r="L71" s="109">
        <f t="shared" ca="1" si="25"/>
        <v>93178.006083300061</v>
      </c>
      <c r="M71" s="109">
        <f t="shared" ca="1" si="25"/>
        <v>93198.893329676066</v>
      </c>
      <c r="N71" s="109">
        <f t="shared" ca="1" si="25"/>
        <v>93178.006083300061</v>
      </c>
      <c r="O71" s="109">
        <f t="shared" ca="1" si="25"/>
        <v>93198.893329676066</v>
      </c>
      <c r="P71" s="109">
        <f t="shared" ca="1" si="25"/>
        <v>93178.006083300061</v>
      </c>
      <c r="Q71" s="109">
        <f t="shared" ca="1" si="25"/>
        <v>93198.893329676066</v>
      </c>
      <c r="R71" s="109">
        <f t="shared" ca="1" si="25"/>
        <v>93178.006083300061</v>
      </c>
      <c r="S71" s="109">
        <f t="shared" ca="1" si="25"/>
        <v>93198.893329676066</v>
      </c>
      <c r="T71" s="109">
        <f t="shared" ca="1" si="25"/>
        <v>93178.006083300061</v>
      </c>
      <c r="U71" s="109">
        <f t="shared" ca="1" si="25"/>
        <v>93198.893329676066</v>
      </c>
      <c r="V71" s="109">
        <f t="shared" ca="1" si="25"/>
        <v>93178.006083300061</v>
      </c>
      <c r="W71" s="110">
        <f t="shared" ca="1" si="25"/>
        <v>46599.446664838033</v>
      </c>
      <c r="X71" s="107">
        <f t="shared" ca="1" si="3"/>
        <v>2088724.6375991947</v>
      </c>
    </row>
    <row r="72" spans="1:24" ht="15" customHeight="1" x14ac:dyDescent="0.25">
      <c r="A72" s="75">
        <f>IF('Cash Flow Analysis'!C88="","",'Cash Flow Analysis'!C88)</f>
        <v>21</v>
      </c>
      <c r="B72" s="1088">
        <f ca="1">IF(A72="","",IF(A72&lt;1,0,IF(A72=1,$B$44-'Cash Flow Analysis'!I88,-'Cash Flow Analysis'!I88)))</f>
        <v>2128410.4057135792</v>
      </c>
      <c r="C72" s="108">
        <f t="shared" ref="C72:W72" ca="1" si="26">IF($B$72="","",IF(AND($B$42="Straight Line",C48&lt;=depr_length),$B$72/depr_length,IF(AND($B$42="MACRS",C48&lt;=depr_length+1),$B$72*INDEX(MACRS_Table,MATCH(C48,recovery_year,0),MATCH($B$43,recovery_period,0)),"")))</f>
        <v>79815.390214259212</v>
      </c>
      <c r="D72" s="109">
        <f t="shared" ca="1" si="26"/>
        <v>153649.94718846329</v>
      </c>
      <c r="E72" s="109">
        <f t="shared" ca="1" si="26"/>
        <v>142113.96278949568</v>
      </c>
      <c r="F72" s="109">
        <f t="shared" ca="1" si="26"/>
        <v>131471.91076092777</v>
      </c>
      <c r="G72" s="109">
        <f t="shared" ca="1" si="26"/>
        <v>121596.08647841678</v>
      </c>
      <c r="H72" s="109">
        <f t="shared" ca="1" si="26"/>
        <v>112486.48994196266</v>
      </c>
      <c r="I72" s="109">
        <f t="shared" ca="1" si="26"/>
        <v>104036.70063127975</v>
      </c>
      <c r="J72" s="109">
        <f t="shared" ca="1" si="26"/>
        <v>96246.718546368051</v>
      </c>
      <c r="K72" s="109">
        <f t="shared" ca="1" si="26"/>
        <v>94969.6723029399</v>
      </c>
      <c r="L72" s="109">
        <f t="shared" ca="1" si="26"/>
        <v>94948.388198882763</v>
      </c>
      <c r="M72" s="109">
        <f t="shared" ca="1" si="26"/>
        <v>94969.6723029399</v>
      </c>
      <c r="N72" s="109">
        <f t="shared" ca="1" si="26"/>
        <v>94948.388198882763</v>
      </c>
      <c r="O72" s="109">
        <f t="shared" ca="1" si="26"/>
        <v>94969.6723029399</v>
      </c>
      <c r="P72" s="109">
        <f t="shared" ca="1" si="26"/>
        <v>94948.388198882763</v>
      </c>
      <c r="Q72" s="109">
        <f t="shared" ca="1" si="26"/>
        <v>94969.6723029399</v>
      </c>
      <c r="R72" s="109">
        <f t="shared" ca="1" si="26"/>
        <v>94948.388198882763</v>
      </c>
      <c r="S72" s="109">
        <f t="shared" ca="1" si="26"/>
        <v>94969.6723029399</v>
      </c>
      <c r="T72" s="109">
        <f t="shared" ca="1" si="26"/>
        <v>94948.388198882763</v>
      </c>
      <c r="U72" s="109">
        <f t="shared" ca="1" si="26"/>
        <v>94969.6723029399</v>
      </c>
      <c r="V72" s="109">
        <f t="shared" ca="1" si="26"/>
        <v>94948.388198882763</v>
      </c>
      <c r="W72" s="110">
        <f t="shared" ca="1" si="26"/>
        <v>47484.83615146995</v>
      </c>
      <c r="X72" s="107">
        <f t="shared" ca="1" si="3"/>
        <v>2128410.4057135792</v>
      </c>
    </row>
    <row r="73" spans="1:24" ht="15" customHeight="1" x14ac:dyDescent="0.25">
      <c r="A73" s="75">
        <f>IF('Cash Flow Analysis'!C89="","",'Cash Flow Analysis'!C89)</f>
        <v>22</v>
      </c>
      <c r="B73" s="1088">
        <f ca="1">IF(A73="","",IF(A73&lt;1,0,IF(A73=1,$B$44-'Cash Flow Analysis'!I89,-'Cash Flow Analysis'!I89)))</f>
        <v>2168850.2034221371</v>
      </c>
      <c r="C73" s="108">
        <f t="shared" ref="C73:W73" ca="1" si="27">IF($B$73="","",IF(AND($B$42="Straight Line",C48&lt;=depr_length),$B$73/depr_length,IF(AND($B$42="MACRS",C48&lt;=depr_length+1),$B$73*INDEX(MACRS_Table,MATCH(C48,recovery_year,0),MATCH($B$43,recovery_period,0)),"")))</f>
        <v>81331.882628330131</v>
      </c>
      <c r="D73" s="109">
        <f t="shared" ca="1" si="27"/>
        <v>156569.29618504408</v>
      </c>
      <c r="E73" s="109">
        <f t="shared" ca="1" si="27"/>
        <v>144814.12808249608</v>
      </c>
      <c r="F73" s="109">
        <f t="shared" ca="1" si="27"/>
        <v>133969.8770653854</v>
      </c>
      <c r="G73" s="109">
        <f t="shared" ca="1" si="27"/>
        <v>123906.41212150668</v>
      </c>
      <c r="H73" s="109">
        <f t="shared" ca="1" si="27"/>
        <v>114623.73325085995</v>
      </c>
      <c r="I73" s="109">
        <f t="shared" ca="1" si="27"/>
        <v>106013.39794327406</v>
      </c>
      <c r="J73" s="109">
        <f t="shared" ca="1" si="27"/>
        <v>98075.406198749042</v>
      </c>
      <c r="K73" s="109">
        <f t="shared" ca="1" si="27"/>
        <v>96774.096076695758</v>
      </c>
      <c r="L73" s="109">
        <f t="shared" ca="1" si="27"/>
        <v>96752.407574661527</v>
      </c>
      <c r="M73" s="109">
        <f t="shared" ca="1" si="27"/>
        <v>96774.096076695758</v>
      </c>
      <c r="N73" s="109">
        <f t="shared" ca="1" si="27"/>
        <v>96752.407574661527</v>
      </c>
      <c r="O73" s="109">
        <f t="shared" ca="1" si="27"/>
        <v>96774.096076695758</v>
      </c>
      <c r="P73" s="109">
        <f t="shared" ca="1" si="27"/>
        <v>96752.407574661527</v>
      </c>
      <c r="Q73" s="109">
        <f t="shared" ca="1" si="27"/>
        <v>96774.096076695758</v>
      </c>
      <c r="R73" s="109">
        <f t="shared" ca="1" si="27"/>
        <v>96752.407574661527</v>
      </c>
      <c r="S73" s="109">
        <f t="shared" ca="1" si="27"/>
        <v>96774.096076695758</v>
      </c>
      <c r="T73" s="109">
        <f t="shared" ca="1" si="27"/>
        <v>96752.407574661527</v>
      </c>
      <c r="U73" s="109">
        <f t="shared" ca="1" si="27"/>
        <v>96774.096076695758</v>
      </c>
      <c r="V73" s="109">
        <f t="shared" ca="1" si="27"/>
        <v>96752.407574661527</v>
      </c>
      <c r="W73" s="110">
        <f t="shared" ca="1" si="27"/>
        <v>48387.048038347879</v>
      </c>
      <c r="X73" s="107">
        <f t="shared" ca="1" si="3"/>
        <v>2168850.2034221371</v>
      </c>
    </row>
    <row r="74" spans="1:24" ht="15" customHeight="1" x14ac:dyDescent="0.25">
      <c r="A74" s="75">
        <f>IF('Cash Flow Analysis'!C90="","",'Cash Flow Analysis'!C90)</f>
        <v>23</v>
      </c>
      <c r="B74" s="1088">
        <f ca="1">IF(A74="","",IF(A74&lt;1,0,IF(A74=1,$B$44-'Cash Flow Analysis'!I90,-'Cash Flow Analysis'!I90)))</f>
        <v>2210058.3572871578</v>
      </c>
      <c r="C74" s="108">
        <f t="shared" ref="C74:W74" ca="1" si="28">IF($B$74="","",IF(AND($B$42="Straight Line",C48&lt;=depr_length),$B$74/depr_length,IF(AND($B$42="MACRS",C48&lt;=depr_length+1),$B$74*INDEX(MACRS_Table,MATCH(C48,recovery_year,0),MATCH($B$43,recovery_period,0)),"")))</f>
        <v>82877.188398268408</v>
      </c>
      <c r="D74" s="109">
        <f t="shared" ca="1" si="28"/>
        <v>159544.11281255994</v>
      </c>
      <c r="E74" s="109">
        <f t="shared" ca="1" si="28"/>
        <v>147565.59651606352</v>
      </c>
      <c r="F74" s="109">
        <f t="shared" ca="1" si="28"/>
        <v>136515.30472962774</v>
      </c>
      <c r="G74" s="109">
        <f t="shared" ca="1" si="28"/>
        <v>126260.63395181533</v>
      </c>
      <c r="H74" s="109">
        <f t="shared" ca="1" si="28"/>
        <v>116801.58418262629</v>
      </c>
      <c r="I74" s="109">
        <f t="shared" ca="1" si="28"/>
        <v>108027.65250419627</v>
      </c>
      <c r="J74" s="109">
        <f t="shared" ca="1" si="28"/>
        <v>99938.838916525288</v>
      </c>
      <c r="K74" s="109">
        <f t="shared" ca="1" si="28"/>
        <v>98612.803902152984</v>
      </c>
      <c r="L74" s="109">
        <f t="shared" ca="1" si="28"/>
        <v>98590.703318580097</v>
      </c>
      <c r="M74" s="109">
        <f t="shared" ca="1" si="28"/>
        <v>98612.803902152984</v>
      </c>
      <c r="N74" s="109">
        <f t="shared" ca="1" si="28"/>
        <v>98590.703318580097</v>
      </c>
      <c r="O74" s="109">
        <f t="shared" ca="1" si="28"/>
        <v>98612.803902152984</v>
      </c>
      <c r="P74" s="109">
        <f t="shared" ca="1" si="28"/>
        <v>98590.703318580097</v>
      </c>
      <c r="Q74" s="109">
        <f t="shared" ca="1" si="28"/>
        <v>98612.803902152984</v>
      </c>
      <c r="R74" s="109">
        <f t="shared" ca="1" si="28"/>
        <v>98590.703318580097</v>
      </c>
      <c r="S74" s="109">
        <f t="shared" ca="1" si="28"/>
        <v>98612.803902152984</v>
      </c>
      <c r="T74" s="109">
        <f t="shared" ca="1" si="28"/>
        <v>98590.703318580097</v>
      </c>
      <c r="U74" s="109">
        <f t="shared" ca="1" si="28"/>
        <v>98612.803902152984</v>
      </c>
      <c r="V74" s="109">
        <f t="shared" ca="1" si="28"/>
        <v>98590.703318580097</v>
      </c>
      <c r="W74" s="110">
        <f t="shared" ca="1" si="28"/>
        <v>49306.401951076492</v>
      </c>
      <c r="X74" s="107">
        <f t="shared" ca="1" si="3"/>
        <v>2210058.3572871573</v>
      </c>
    </row>
    <row r="75" spans="1:24" ht="15" customHeight="1" x14ac:dyDescent="0.25">
      <c r="A75" s="75">
        <f>IF('Cash Flow Analysis'!C91="","",'Cash Flow Analysis'!C91)</f>
        <v>24</v>
      </c>
      <c r="B75" s="1088">
        <f ca="1">IF(A75="","",IF(A75&lt;1,0,IF(A75=1,$B$44-'Cash Flow Analysis'!I91,-'Cash Flow Analysis'!I91)))</f>
        <v>2252049.4660756136</v>
      </c>
      <c r="C75" s="108">
        <f t="shared" ref="C75:W75" ca="1" si="29">IF($B$75="","",IF(AND($B$42="Straight Line",C48&lt;=depr_length),$B$75/depr_length,IF(AND($B$42="MACRS",C48&lt;=depr_length+1),$B$75*INDEX(MACRS_Table,MATCH(C48,recovery_year,0),MATCH($B$43,recovery_period,0)),"")))</f>
        <v>84451.854977835508</v>
      </c>
      <c r="D75" s="109">
        <f t="shared" ca="1" si="29"/>
        <v>162575.45095599856</v>
      </c>
      <c r="E75" s="109">
        <f t="shared" ca="1" si="29"/>
        <v>150369.3428498687</v>
      </c>
      <c r="F75" s="109">
        <f t="shared" ca="1" si="29"/>
        <v>139109.09551949066</v>
      </c>
      <c r="G75" s="109">
        <f t="shared" ca="1" si="29"/>
        <v>128659.58599689981</v>
      </c>
      <c r="H75" s="109">
        <f t="shared" ca="1" si="29"/>
        <v>119020.81428209618</v>
      </c>
      <c r="I75" s="109">
        <f t="shared" ca="1" si="29"/>
        <v>110080.177901776</v>
      </c>
      <c r="J75" s="109">
        <f t="shared" ca="1" si="29"/>
        <v>101837.67685593925</v>
      </c>
      <c r="K75" s="109">
        <f t="shared" ca="1" si="29"/>
        <v>100486.44717629388</v>
      </c>
      <c r="L75" s="109">
        <f t="shared" ca="1" si="29"/>
        <v>100463.92668163312</v>
      </c>
      <c r="M75" s="109">
        <f t="shared" ca="1" si="29"/>
        <v>100486.44717629388</v>
      </c>
      <c r="N75" s="109">
        <f t="shared" ca="1" si="29"/>
        <v>100463.92668163312</v>
      </c>
      <c r="O75" s="109">
        <f t="shared" ca="1" si="29"/>
        <v>100486.44717629388</v>
      </c>
      <c r="P75" s="109">
        <f t="shared" ca="1" si="29"/>
        <v>100463.92668163312</v>
      </c>
      <c r="Q75" s="109">
        <f t="shared" ca="1" si="29"/>
        <v>100486.44717629388</v>
      </c>
      <c r="R75" s="109">
        <f t="shared" ca="1" si="29"/>
        <v>100463.92668163312</v>
      </c>
      <c r="S75" s="109">
        <f t="shared" ca="1" si="29"/>
        <v>100486.44717629388</v>
      </c>
      <c r="T75" s="109">
        <f t="shared" ca="1" si="29"/>
        <v>100463.92668163312</v>
      </c>
      <c r="U75" s="109">
        <f t="shared" ca="1" si="29"/>
        <v>100486.44717629388</v>
      </c>
      <c r="V75" s="109">
        <f t="shared" ca="1" si="29"/>
        <v>100463.92668163312</v>
      </c>
      <c r="W75" s="110">
        <f t="shared" ca="1" si="29"/>
        <v>50243.223588146939</v>
      </c>
      <c r="X75" s="107">
        <f t="shared" ca="1" si="3"/>
        <v>2252049.4660756136</v>
      </c>
    </row>
    <row r="76" spans="1:24" ht="15" customHeight="1" x14ac:dyDescent="0.25">
      <c r="A76" s="75">
        <f>IF('Cash Flow Analysis'!C92="","",'Cash Flow Analysis'!C92)</f>
        <v>25</v>
      </c>
      <c r="B76" s="1088">
        <f ca="1">IF(A76="","",IF(A76&lt;1,0,IF(A76=1,$B$44-'Cash Flow Analysis'!I92,-'Cash Flow Analysis'!I92)))</f>
        <v>2294838.40593105</v>
      </c>
      <c r="C76" s="108">
        <f t="shared" ref="C76:W76" ca="1" si="30">IF($B$76="","",IF(AND($B$42="Straight Line",C48&lt;=depr_length),$B$76/depr_length,IF(AND($B$42="MACRS",C48&lt;=depr_length+1),$B$76*INDEX(MACRS_Table,MATCH(C48,recovery_year,0),MATCH($B$43,recovery_period,0)),"")))</f>
        <v>86056.440222414371</v>
      </c>
      <c r="D76" s="109">
        <f t="shared" ca="1" si="30"/>
        <v>165664.38452416251</v>
      </c>
      <c r="E76" s="109">
        <f t="shared" ca="1" si="30"/>
        <v>153226.3603640162</v>
      </c>
      <c r="F76" s="109">
        <f t="shared" ca="1" si="30"/>
        <v>141752.16833436096</v>
      </c>
      <c r="G76" s="109">
        <f t="shared" ca="1" si="30"/>
        <v>131104.11813084088</v>
      </c>
      <c r="H76" s="109">
        <f t="shared" ca="1" si="30"/>
        <v>121282.20975345599</v>
      </c>
      <c r="I76" s="109">
        <f t="shared" ca="1" si="30"/>
        <v>112171.70128190971</v>
      </c>
      <c r="J76" s="109">
        <f t="shared" ca="1" si="30"/>
        <v>103772.59271620208</v>
      </c>
      <c r="K76" s="109">
        <f t="shared" ca="1" si="30"/>
        <v>102395.68967264345</v>
      </c>
      <c r="L76" s="109">
        <f t="shared" ca="1" si="30"/>
        <v>102372.74128858413</v>
      </c>
      <c r="M76" s="109">
        <f t="shared" ca="1" si="30"/>
        <v>102395.68967264345</v>
      </c>
      <c r="N76" s="109">
        <f t="shared" ca="1" si="30"/>
        <v>102372.74128858413</v>
      </c>
      <c r="O76" s="109">
        <f t="shared" ca="1" si="30"/>
        <v>102395.68967264345</v>
      </c>
      <c r="P76" s="109">
        <f t="shared" ca="1" si="30"/>
        <v>102372.74128858413</v>
      </c>
      <c r="Q76" s="109">
        <f t="shared" ca="1" si="30"/>
        <v>102395.68967264345</v>
      </c>
      <c r="R76" s="109">
        <f t="shared" ca="1" si="30"/>
        <v>102372.74128858413</v>
      </c>
      <c r="S76" s="109">
        <f t="shared" ca="1" si="30"/>
        <v>102395.68967264345</v>
      </c>
      <c r="T76" s="109">
        <f t="shared" ca="1" si="30"/>
        <v>102372.74128858413</v>
      </c>
      <c r="U76" s="109">
        <f t="shared" ca="1" si="30"/>
        <v>102395.68967264345</v>
      </c>
      <c r="V76" s="109">
        <f t="shared" ca="1" si="30"/>
        <v>102372.74128858413</v>
      </c>
      <c r="W76" s="110">
        <f t="shared" ca="1" si="30"/>
        <v>51197.844836321725</v>
      </c>
      <c r="X76" s="107">
        <f t="shared" ca="1" si="3"/>
        <v>2294838.4059310509</v>
      </c>
    </row>
    <row r="77" spans="1:24" ht="15" customHeight="1" x14ac:dyDescent="0.25">
      <c r="A77" s="75">
        <f>IF('Cash Flow Analysis'!C93="","",'Cash Flow Analysis'!C93)</f>
        <v>26</v>
      </c>
      <c r="B77" s="1088">
        <f ca="1">IF(A77="","",IF(A77&lt;1,0,IF(A77=1,$B$44-'Cash Flow Analysis'!I93,-'Cash Flow Analysis'!I93)))</f>
        <v>2338440.3356437399</v>
      </c>
      <c r="C77" s="108">
        <f t="shared" ref="C77:W77" ca="1" si="31">IF($B$77="","",IF(AND($B$42="Straight Line",C48&lt;=depr_length),$B$77/depr_length,IF(AND($B$42="MACRS",C48&lt;=depr_length+1),$B$77*INDEX(MACRS_Table,MATCH(C48,recovery_year,0),MATCH($B$43,recovery_period,0)),"")))</f>
        <v>87691.512586640238</v>
      </c>
      <c r="D77" s="109">
        <f t="shared" ca="1" si="31"/>
        <v>168812.00783012158</v>
      </c>
      <c r="E77" s="109">
        <f t="shared" ca="1" si="31"/>
        <v>156137.66121093251</v>
      </c>
      <c r="F77" s="109">
        <f t="shared" ca="1" si="31"/>
        <v>144445.45953271381</v>
      </c>
      <c r="G77" s="109">
        <f t="shared" ca="1" si="31"/>
        <v>133595.09637532686</v>
      </c>
      <c r="H77" s="109">
        <f t="shared" ca="1" si="31"/>
        <v>123586.57173877166</v>
      </c>
      <c r="I77" s="109">
        <f t="shared" ca="1" si="31"/>
        <v>114302.963606266</v>
      </c>
      <c r="J77" s="109">
        <f t="shared" ca="1" si="31"/>
        <v>105744.27197780993</v>
      </c>
      <c r="K77" s="109">
        <f t="shared" ca="1" si="31"/>
        <v>104341.20777642367</v>
      </c>
      <c r="L77" s="109">
        <f t="shared" ca="1" si="31"/>
        <v>104317.82337306724</v>
      </c>
      <c r="M77" s="109">
        <f t="shared" ca="1" si="31"/>
        <v>104341.20777642367</v>
      </c>
      <c r="N77" s="109">
        <f t="shared" ca="1" si="31"/>
        <v>104317.82337306724</v>
      </c>
      <c r="O77" s="109">
        <f t="shared" ca="1" si="31"/>
        <v>104341.20777642367</v>
      </c>
      <c r="P77" s="109">
        <f t="shared" ca="1" si="31"/>
        <v>104317.82337306724</v>
      </c>
      <c r="Q77" s="109">
        <f t="shared" ca="1" si="31"/>
        <v>104341.20777642367</v>
      </c>
      <c r="R77" s="109">
        <f t="shared" ca="1" si="31"/>
        <v>104317.82337306724</v>
      </c>
      <c r="S77" s="109">
        <f t="shared" ca="1" si="31"/>
        <v>104341.20777642367</v>
      </c>
      <c r="T77" s="109">
        <f t="shared" ca="1" si="31"/>
        <v>104317.82337306724</v>
      </c>
      <c r="U77" s="109">
        <f t="shared" ca="1" si="31"/>
        <v>104341.20777642367</v>
      </c>
      <c r="V77" s="109">
        <f t="shared" ca="1" si="31"/>
        <v>104317.82337306724</v>
      </c>
      <c r="W77" s="110">
        <f t="shared" ca="1" si="31"/>
        <v>52170.603888211837</v>
      </c>
      <c r="X77" s="107">
        <f t="shared" ca="1" si="3"/>
        <v>2338440.3356437399</v>
      </c>
    </row>
    <row r="78" spans="1:24" ht="15" customHeight="1" x14ac:dyDescent="0.25">
      <c r="A78" s="75">
        <f>IF('Cash Flow Analysis'!C94="","",'Cash Flow Analysis'!C94)</f>
        <v>27</v>
      </c>
      <c r="B78" s="1088">
        <f ca="1">IF(A78="","",IF(A78&lt;1,0,IF(A78=1,$B$44-'Cash Flow Analysis'!I94,-'Cash Flow Analysis'!I94)))</f>
        <v>2382870.7020209706</v>
      </c>
      <c r="C78" s="108">
        <f t="shared" ref="C78:W78" ca="1" si="32">IF($B$78="","",IF(AND($B$42="Straight Line",C48&lt;=depr_length),$B$78/depr_length,IF(AND($B$42="MACRS",C48&lt;=depr_length+1),$B$78*INDEX(MACRS_Table,MATCH(C48,recovery_year,0),MATCH($B$43,recovery_period,0)),"")))</f>
        <v>89357.651325786399</v>
      </c>
      <c r="D78" s="109">
        <f t="shared" ca="1" si="32"/>
        <v>172019.43597889389</v>
      </c>
      <c r="E78" s="109">
        <f t="shared" ca="1" si="32"/>
        <v>159104.27677394019</v>
      </c>
      <c r="F78" s="109">
        <f t="shared" ca="1" si="32"/>
        <v>147189.92326383534</v>
      </c>
      <c r="G78" s="109">
        <f t="shared" ca="1" si="32"/>
        <v>136133.40320645805</v>
      </c>
      <c r="H78" s="109">
        <f t="shared" ca="1" si="32"/>
        <v>125934.71660180831</v>
      </c>
      <c r="I78" s="109">
        <f t="shared" ca="1" si="32"/>
        <v>116474.71991478505</v>
      </c>
      <c r="J78" s="109">
        <f t="shared" ca="1" si="32"/>
        <v>107753.4131453883</v>
      </c>
      <c r="K78" s="109">
        <f t="shared" ca="1" si="32"/>
        <v>106323.69072417571</v>
      </c>
      <c r="L78" s="109">
        <f t="shared" ca="1" si="32"/>
        <v>106299.86201715549</v>
      </c>
      <c r="M78" s="109">
        <f t="shared" ca="1" si="32"/>
        <v>106323.69072417571</v>
      </c>
      <c r="N78" s="109">
        <f t="shared" ca="1" si="32"/>
        <v>106299.86201715549</v>
      </c>
      <c r="O78" s="109">
        <f t="shared" ca="1" si="32"/>
        <v>106323.69072417571</v>
      </c>
      <c r="P78" s="109">
        <f t="shared" ca="1" si="32"/>
        <v>106299.86201715549</v>
      </c>
      <c r="Q78" s="109">
        <f t="shared" ca="1" si="32"/>
        <v>106323.69072417571</v>
      </c>
      <c r="R78" s="109">
        <f t="shared" ca="1" si="32"/>
        <v>106299.86201715549</v>
      </c>
      <c r="S78" s="109">
        <f t="shared" ca="1" si="32"/>
        <v>106323.69072417571</v>
      </c>
      <c r="T78" s="109">
        <f t="shared" ca="1" si="32"/>
        <v>106299.86201715549</v>
      </c>
      <c r="U78" s="109">
        <f t="shared" ca="1" si="32"/>
        <v>106323.69072417571</v>
      </c>
      <c r="V78" s="109">
        <f t="shared" ca="1" si="32"/>
        <v>106299.86201715549</v>
      </c>
      <c r="W78" s="110">
        <f t="shared" ca="1" si="32"/>
        <v>53161.845362087857</v>
      </c>
      <c r="X78" s="107">
        <f t="shared" ca="1" si="3"/>
        <v>2382870.7020209702</v>
      </c>
    </row>
    <row r="79" spans="1:24" ht="15" customHeight="1" x14ac:dyDescent="0.25">
      <c r="A79" s="75">
        <f>IF('Cash Flow Analysis'!C95="","",'Cash Flow Analysis'!C95)</f>
        <v>28</v>
      </c>
      <c r="B79" s="1088">
        <f ca="1">IF(A79="","",IF(A79&lt;1,0,IF(A79=1,$B$44-'Cash Flow Analysis'!I95,-'Cash Flow Analysis'!I95)))</f>
        <v>2428145.2453593691</v>
      </c>
      <c r="C79" s="108">
        <f t="shared" ref="C79:W79" ca="1" si="33">IF($B$79="","",IF(AND($B$42="Straight Line",C48&lt;=depr_length),$B$79/depr_length,IF(AND($B$42="MACRS",C48&lt;=depr_length+1),$B$79*INDEX(MACRS_Table,MATCH(C48,recovery_year,0),MATCH($B$43,recovery_period,0)),"")))</f>
        <v>91055.446700976332</v>
      </c>
      <c r="D79" s="109">
        <f t="shared" ca="1" si="33"/>
        <v>175287.80526249285</v>
      </c>
      <c r="E79" s="109">
        <f t="shared" ca="1" si="33"/>
        <v>162127.25803264507</v>
      </c>
      <c r="F79" s="109">
        <f t="shared" ca="1" si="33"/>
        <v>149986.53180584824</v>
      </c>
      <c r="G79" s="109">
        <f t="shared" ca="1" si="33"/>
        <v>138719.93786738077</v>
      </c>
      <c r="H79" s="109">
        <f t="shared" ca="1" si="33"/>
        <v>128327.47621724266</v>
      </c>
      <c r="I79" s="109">
        <f t="shared" ca="1" si="33"/>
        <v>118687.73959316596</v>
      </c>
      <c r="J79" s="109">
        <f t="shared" ca="1" si="33"/>
        <v>109800.72799515068</v>
      </c>
      <c r="K79" s="109">
        <f t="shared" ca="1" si="33"/>
        <v>108343.84084793505</v>
      </c>
      <c r="L79" s="109">
        <f t="shared" ca="1" si="33"/>
        <v>108319.55939548145</v>
      </c>
      <c r="M79" s="109">
        <f t="shared" ca="1" si="33"/>
        <v>108343.84084793505</v>
      </c>
      <c r="N79" s="109">
        <f t="shared" ca="1" si="33"/>
        <v>108319.55939548145</v>
      </c>
      <c r="O79" s="109">
        <f t="shared" ca="1" si="33"/>
        <v>108343.84084793505</v>
      </c>
      <c r="P79" s="109">
        <f t="shared" ca="1" si="33"/>
        <v>108319.55939548145</v>
      </c>
      <c r="Q79" s="109">
        <f t="shared" ca="1" si="33"/>
        <v>108343.84084793505</v>
      </c>
      <c r="R79" s="109">
        <f t="shared" ca="1" si="33"/>
        <v>108319.55939548145</v>
      </c>
      <c r="S79" s="109">
        <f t="shared" ca="1" si="33"/>
        <v>108343.84084793505</v>
      </c>
      <c r="T79" s="109">
        <f t="shared" ca="1" si="33"/>
        <v>108319.55939548145</v>
      </c>
      <c r="U79" s="109">
        <f t="shared" ca="1" si="33"/>
        <v>108343.84084793505</v>
      </c>
      <c r="V79" s="109">
        <f t="shared" ca="1" si="33"/>
        <v>108319.55939548145</v>
      </c>
      <c r="W79" s="110">
        <f t="shared" ca="1" si="33"/>
        <v>54171.920423967524</v>
      </c>
      <c r="X79" s="107">
        <f t="shared" ca="1" si="3"/>
        <v>2428145.2453593686</v>
      </c>
    </row>
    <row r="80" spans="1:24" ht="15" customHeight="1" x14ac:dyDescent="0.25">
      <c r="A80" s="75">
        <f>IF('Cash Flow Analysis'!C96="","",'Cash Flow Analysis'!C96)</f>
        <v>29</v>
      </c>
      <c r="B80" s="1088">
        <f ca="1">IF(A80="","",IF(A80&lt;1,0,IF(A80=1,$B$44-'Cash Flow Analysis'!I96,-'Cash Flow Analysis'!I96)))</f>
        <v>2474280.0050211968</v>
      </c>
      <c r="C80" s="108">
        <f t="shared" ref="C80:W80" ca="1" si="34">IF($B$80="","",IF(AND($B$42="Straight Line",C48&lt;=depr_length),$B$80/depr_length,IF(AND($B$42="MACRS",C48&lt;=depr_length+1),$B$80*INDEX(MACRS_Table,MATCH(C48,recovery_year,0),MATCH($B$43,recovery_period,0)),"")))</f>
        <v>92785.500188294871</v>
      </c>
      <c r="D80" s="109">
        <f t="shared" ca="1" si="34"/>
        <v>178618.2735624802</v>
      </c>
      <c r="E80" s="109">
        <f t="shared" ca="1" si="34"/>
        <v>165207.67593526529</v>
      </c>
      <c r="F80" s="109">
        <f t="shared" ca="1" si="34"/>
        <v>152836.27591015931</v>
      </c>
      <c r="G80" s="109">
        <f t="shared" ca="1" si="34"/>
        <v>141355.61668686097</v>
      </c>
      <c r="H80" s="109">
        <f t="shared" ca="1" si="34"/>
        <v>130765.69826537026</v>
      </c>
      <c r="I80" s="109">
        <f t="shared" ca="1" si="34"/>
        <v>120942.8066454361</v>
      </c>
      <c r="J80" s="109">
        <f t="shared" ca="1" si="34"/>
        <v>111886.94182705853</v>
      </c>
      <c r="K80" s="109">
        <f t="shared" ca="1" si="34"/>
        <v>110402.3738240458</v>
      </c>
      <c r="L80" s="109">
        <f t="shared" ca="1" si="34"/>
        <v>110377.63102399558</v>
      </c>
      <c r="M80" s="109">
        <f t="shared" ca="1" si="34"/>
        <v>110402.3738240458</v>
      </c>
      <c r="N80" s="109">
        <f t="shared" ca="1" si="34"/>
        <v>110377.63102399558</v>
      </c>
      <c r="O80" s="109">
        <f t="shared" ca="1" si="34"/>
        <v>110402.3738240458</v>
      </c>
      <c r="P80" s="109">
        <f t="shared" ca="1" si="34"/>
        <v>110377.63102399558</v>
      </c>
      <c r="Q80" s="109">
        <f t="shared" ca="1" si="34"/>
        <v>110402.3738240458</v>
      </c>
      <c r="R80" s="109">
        <f t="shared" ca="1" si="34"/>
        <v>110377.63102399558</v>
      </c>
      <c r="S80" s="109">
        <f t="shared" ca="1" si="34"/>
        <v>110402.3738240458</v>
      </c>
      <c r="T80" s="109">
        <f t="shared" ca="1" si="34"/>
        <v>110377.63102399558</v>
      </c>
      <c r="U80" s="109">
        <f t="shared" ca="1" si="34"/>
        <v>110402.3738240458</v>
      </c>
      <c r="V80" s="109">
        <f t="shared" ca="1" si="34"/>
        <v>110377.63102399558</v>
      </c>
      <c r="W80" s="110">
        <f t="shared" ca="1" si="34"/>
        <v>55201.186912022902</v>
      </c>
      <c r="X80" s="107">
        <f t="shared" ca="1" si="3"/>
        <v>2474280.0050211968</v>
      </c>
    </row>
    <row r="81" spans="1:24" ht="15" customHeight="1" x14ac:dyDescent="0.25">
      <c r="A81" s="75">
        <f>IF('Cash Flow Analysis'!C97="","",'Cash Flow Analysis'!C97)</f>
        <v>30</v>
      </c>
      <c r="B81" s="1088">
        <f ca="1">IF(A81="","",IF(A81&lt;1,0,IF(A81=1,$B$44-'Cash Flow Analysis'!I97,-'Cash Flow Analysis'!I97)))</f>
        <v>2521291.3251165994</v>
      </c>
      <c r="C81" s="108">
        <f t="shared" ref="C81:W81" ca="1" si="35">IF($B$81="","",IF(AND($B$42="Straight Line",C48&lt;=depr_length),$B$81/depr_length,IF(AND($B$42="MACRS",C48&lt;=depr_length+1),$B$81*INDEX(MACRS_Table,MATCH(C48,recovery_year,0),MATCH($B$43,recovery_period,0)),"")))</f>
        <v>94548.424691872482</v>
      </c>
      <c r="D81" s="109">
        <f t="shared" ca="1" si="35"/>
        <v>182012.02076016733</v>
      </c>
      <c r="E81" s="109">
        <f t="shared" ca="1" si="35"/>
        <v>168346.62177803533</v>
      </c>
      <c r="F81" s="109">
        <f t="shared" ca="1" si="35"/>
        <v>155740.16515245233</v>
      </c>
      <c r="G81" s="109">
        <f t="shared" ca="1" si="35"/>
        <v>144041.37340391133</v>
      </c>
      <c r="H81" s="109">
        <f t="shared" ca="1" si="35"/>
        <v>133250.24653241227</v>
      </c>
      <c r="I81" s="109">
        <f t="shared" ca="1" si="35"/>
        <v>123240.71997169938</v>
      </c>
      <c r="J81" s="109">
        <f t="shared" ca="1" si="35"/>
        <v>114012.79372177263</v>
      </c>
      <c r="K81" s="109">
        <f t="shared" ca="1" si="35"/>
        <v>112500.01892670267</v>
      </c>
      <c r="L81" s="109">
        <f t="shared" ca="1" si="35"/>
        <v>112474.8060134515</v>
      </c>
      <c r="M81" s="109">
        <f t="shared" ca="1" si="35"/>
        <v>112500.01892670267</v>
      </c>
      <c r="N81" s="109">
        <f t="shared" ca="1" si="35"/>
        <v>112474.8060134515</v>
      </c>
      <c r="O81" s="109">
        <f t="shared" ca="1" si="35"/>
        <v>112500.01892670267</v>
      </c>
      <c r="P81" s="109">
        <f t="shared" ca="1" si="35"/>
        <v>112474.8060134515</v>
      </c>
      <c r="Q81" s="109">
        <f t="shared" ca="1" si="35"/>
        <v>112500.01892670267</v>
      </c>
      <c r="R81" s="109">
        <f t="shared" ca="1" si="35"/>
        <v>112474.8060134515</v>
      </c>
      <c r="S81" s="109">
        <f t="shared" ca="1" si="35"/>
        <v>112500.01892670267</v>
      </c>
      <c r="T81" s="109">
        <f t="shared" ca="1" si="35"/>
        <v>112474.8060134515</v>
      </c>
      <c r="U81" s="109">
        <f t="shared" ca="1" si="35"/>
        <v>112500.01892670267</v>
      </c>
      <c r="V81" s="109">
        <f t="shared" ca="1" si="35"/>
        <v>112474.8060134515</v>
      </c>
      <c r="W81" s="110">
        <f t="shared" ca="1" si="35"/>
        <v>56250.009463351336</v>
      </c>
      <c r="X81" s="107">
        <f t="shared" ca="1" si="3"/>
        <v>2521291.3251165994</v>
      </c>
    </row>
    <row r="82" spans="1:24" ht="15" customHeight="1" x14ac:dyDescent="0.25">
      <c r="A82" s="75">
        <f>IF('Cash Flow Analysis'!C98="","",'Cash Flow Analysis'!C98)</f>
        <v>31</v>
      </c>
      <c r="B82" s="1088">
        <f ca="1">IF(A82="","",IF(A82&lt;1,0,IF(A82=1,$B$44-'Cash Flow Analysis'!I98,-'Cash Flow Analysis'!I98)))</f>
        <v>2569195.8602938154</v>
      </c>
      <c r="C82" s="108">
        <f t="shared" ref="C82:W82" ca="1" si="36">IF($B$82="","",IF(AND($B$42="Straight Line",C48&lt;=depr_length),$B$82/depr_length,IF(AND($B$42="MACRS",C48&lt;=depr_length+1),$B$82*INDEX(MACRS_Table,MATCH(C48,recovery_year,0),MATCH($B$43,recovery_period,0)),"")))</f>
        <v>96344.844761018074</v>
      </c>
      <c r="D82" s="109">
        <f t="shared" ca="1" si="36"/>
        <v>185470.24915461053</v>
      </c>
      <c r="E82" s="109">
        <f t="shared" ca="1" si="36"/>
        <v>171545.20759181803</v>
      </c>
      <c r="F82" s="109">
        <f t="shared" ca="1" si="36"/>
        <v>158699.22829034898</v>
      </c>
      <c r="G82" s="109">
        <f t="shared" ca="1" si="36"/>
        <v>146778.15949858568</v>
      </c>
      <c r="H82" s="109">
        <f t="shared" ca="1" si="36"/>
        <v>135782.00121652815</v>
      </c>
      <c r="I82" s="109">
        <f t="shared" ca="1" si="36"/>
        <v>125582.2936511617</v>
      </c>
      <c r="J82" s="109">
        <f t="shared" ca="1" si="36"/>
        <v>116179.03680248634</v>
      </c>
      <c r="K82" s="109">
        <f t="shared" ca="1" si="36"/>
        <v>114637.51928631004</v>
      </c>
      <c r="L82" s="109">
        <f t="shared" ca="1" si="36"/>
        <v>114611.8273277071</v>
      </c>
      <c r="M82" s="109">
        <f t="shared" ca="1" si="36"/>
        <v>114637.51928631004</v>
      </c>
      <c r="N82" s="109">
        <f t="shared" ca="1" si="36"/>
        <v>114611.8273277071</v>
      </c>
      <c r="O82" s="109">
        <f t="shared" ca="1" si="36"/>
        <v>114637.51928631004</v>
      </c>
      <c r="P82" s="109">
        <f t="shared" ca="1" si="36"/>
        <v>114611.8273277071</v>
      </c>
      <c r="Q82" s="109">
        <f t="shared" ca="1" si="36"/>
        <v>114637.51928631004</v>
      </c>
      <c r="R82" s="109">
        <f t="shared" ca="1" si="36"/>
        <v>114611.8273277071</v>
      </c>
      <c r="S82" s="109">
        <f t="shared" ca="1" si="36"/>
        <v>114637.51928631004</v>
      </c>
      <c r="T82" s="109">
        <f t="shared" ca="1" si="36"/>
        <v>114611.8273277071</v>
      </c>
      <c r="U82" s="109">
        <f t="shared" ca="1" si="36"/>
        <v>114637.51928631004</v>
      </c>
      <c r="V82" s="109">
        <f t="shared" ca="1" si="36"/>
        <v>114611.8273277071</v>
      </c>
      <c r="W82" s="110">
        <f t="shared" ca="1" si="36"/>
        <v>57318.759643155019</v>
      </c>
      <c r="X82" s="107">
        <f t="shared" ca="1" si="3"/>
        <v>2569195.8602938158</v>
      </c>
    </row>
    <row r="83" spans="1:24" ht="15" customHeight="1" x14ac:dyDescent="0.25">
      <c r="A83" s="75">
        <f>IF('Cash Flow Analysis'!C99="","",'Cash Flow Analysis'!C99)</f>
        <v>32</v>
      </c>
      <c r="B83" s="1088">
        <f ca="1">IF(A83="","",IF(A83&lt;1,0,IF(A83=1,$B$44-'Cash Flow Analysis'!I99,-'Cash Flow Analysis'!I99)))</f>
        <v>2618010.5816393974</v>
      </c>
      <c r="C83" s="108">
        <f t="shared" ref="C83:W83" ca="1" si="37">IF($B$83="","",IF(AND($B$42="Straight Line",C48&lt;=depr_length),$B$83/depr_length,IF(AND($B$42="MACRS",C48&lt;=depr_length+1),$B$83*INDEX(MACRS_Table,MATCH(C48,recovery_year,0),MATCH($B$43,recovery_period,0)),"")))</f>
        <v>98175.396811477403</v>
      </c>
      <c r="D83" s="109">
        <f t="shared" ca="1" si="37"/>
        <v>188994.18388854811</v>
      </c>
      <c r="E83" s="109">
        <f t="shared" ca="1" si="37"/>
        <v>174804.56653606254</v>
      </c>
      <c r="F83" s="109">
        <f t="shared" ca="1" si="37"/>
        <v>161714.51362786558</v>
      </c>
      <c r="G83" s="109">
        <f t="shared" ca="1" si="37"/>
        <v>149566.94452905876</v>
      </c>
      <c r="H83" s="109">
        <f t="shared" ca="1" si="37"/>
        <v>138361.85923964216</v>
      </c>
      <c r="I83" s="109">
        <f t="shared" ca="1" si="37"/>
        <v>127968.35723053374</v>
      </c>
      <c r="J83" s="109">
        <f t="shared" ca="1" si="37"/>
        <v>118386.43850173356</v>
      </c>
      <c r="K83" s="109">
        <f t="shared" ca="1" si="37"/>
        <v>116815.63215274991</v>
      </c>
      <c r="L83" s="109">
        <f t="shared" ca="1" si="37"/>
        <v>116789.45204693351</v>
      </c>
      <c r="M83" s="109">
        <f t="shared" ca="1" si="37"/>
        <v>116815.63215274991</v>
      </c>
      <c r="N83" s="109">
        <f t="shared" ca="1" si="37"/>
        <v>116789.45204693351</v>
      </c>
      <c r="O83" s="109">
        <f t="shared" ca="1" si="37"/>
        <v>116815.63215274991</v>
      </c>
      <c r="P83" s="109">
        <f t="shared" ca="1" si="37"/>
        <v>116789.45204693351</v>
      </c>
      <c r="Q83" s="109">
        <f t="shared" ca="1" si="37"/>
        <v>116815.63215274991</v>
      </c>
      <c r="R83" s="109">
        <f t="shared" ca="1" si="37"/>
        <v>116789.45204693351</v>
      </c>
      <c r="S83" s="109">
        <f t="shared" ca="1" si="37"/>
        <v>116815.63215274991</v>
      </c>
      <c r="T83" s="109">
        <f t="shared" ca="1" si="37"/>
        <v>116789.45204693351</v>
      </c>
      <c r="U83" s="109">
        <f t="shared" ca="1" si="37"/>
        <v>116815.63215274991</v>
      </c>
      <c r="V83" s="109">
        <f t="shared" ca="1" si="37"/>
        <v>116789.45204693351</v>
      </c>
      <c r="W83" s="110">
        <f t="shared" ca="1" si="37"/>
        <v>58407.816076374955</v>
      </c>
      <c r="X83" s="107">
        <f t="shared" ca="1" si="3"/>
        <v>2618010.5816393974</v>
      </c>
    </row>
    <row r="84" spans="1:24" ht="15" customHeight="1" x14ac:dyDescent="0.25">
      <c r="A84" s="75">
        <f>IF('Cash Flow Analysis'!C100="","",'Cash Flow Analysis'!C100)</f>
        <v>33</v>
      </c>
      <c r="B84" s="1088">
        <f ca="1">IF(A84="","",IF(A84&lt;1,0,IF(A84=1,$B$44-'Cash Flow Analysis'!I100,-'Cash Flow Analysis'!I100)))</f>
        <v>2667752.782690546</v>
      </c>
      <c r="C84" s="108">
        <f t="shared" ref="C84:W84" ca="1" si="38">IF($B$84="","",IF(AND($B$42="Straight Line",C48&lt;=depr_length),$B$84/depr_length,IF(AND($B$42="MACRS",C48&lt;=depr_length+1),$B$84*INDEX(MACRS_Table,MATCH(C48,recovery_year,0),MATCH($B$43,recovery_period,0)),"")))</f>
        <v>100040.72935089548</v>
      </c>
      <c r="D84" s="109">
        <f t="shared" ca="1" si="38"/>
        <v>192585.07338243054</v>
      </c>
      <c r="E84" s="109">
        <f t="shared" ca="1" si="38"/>
        <v>178125.85330024775</v>
      </c>
      <c r="F84" s="109">
        <f t="shared" ca="1" si="38"/>
        <v>164787.08938679504</v>
      </c>
      <c r="G84" s="109">
        <f t="shared" ca="1" si="38"/>
        <v>152408.71647511091</v>
      </c>
      <c r="H84" s="109">
        <f t="shared" ca="1" si="38"/>
        <v>140990.73456519537</v>
      </c>
      <c r="I84" s="109">
        <f t="shared" ca="1" si="38"/>
        <v>130399.75601791388</v>
      </c>
      <c r="J84" s="109">
        <f t="shared" ca="1" si="38"/>
        <v>120635.7808332665</v>
      </c>
      <c r="K84" s="109">
        <f t="shared" ca="1" si="38"/>
        <v>119035.12916365216</v>
      </c>
      <c r="L84" s="109">
        <f t="shared" ca="1" si="38"/>
        <v>119008.45163582524</v>
      </c>
      <c r="M84" s="109">
        <f t="shared" ca="1" si="38"/>
        <v>119035.12916365216</v>
      </c>
      <c r="N84" s="109">
        <f t="shared" ca="1" si="38"/>
        <v>119008.45163582524</v>
      </c>
      <c r="O84" s="109">
        <f t="shared" ca="1" si="38"/>
        <v>119035.12916365216</v>
      </c>
      <c r="P84" s="109">
        <f t="shared" ca="1" si="38"/>
        <v>119008.45163582524</v>
      </c>
      <c r="Q84" s="109">
        <f t="shared" ca="1" si="38"/>
        <v>119035.12916365216</v>
      </c>
      <c r="R84" s="109">
        <f t="shared" ca="1" si="38"/>
        <v>119008.45163582524</v>
      </c>
      <c r="S84" s="109">
        <f t="shared" ca="1" si="38"/>
        <v>119035.12916365216</v>
      </c>
      <c r="T84" s="109">
        <f t="shared" ca="1" si="38"/>
        <v>119008.45163582524</v>
      </c>
      <c r="U84" s="109">
        <f t="shared" ca="1" si="38"/>
        <v>119035.12916365216</v>
      </c>
      <c r="V84" s="109">
        <f t="shared" ca="1" si="38"/>
        <v>119008.45163582524</v>
      </c>
      <c r="W84" s="110">
        <f t="shared" ca="1" si="38"/>
        <v>59517.564581826082</v>
      </c>
      <c r="X84" s="107">
        <f t="shared" ca="1" si="3"/>
        <v>2667752.782690546</v>
      </c>
    </row>
    <row r="85" spans="1:24" ht="15" customHeight="1" x14ac:dyDescent="0.25">
      <c r="A85" s="75">
        <f>IF('Cash Flow Analysis'!C101="","",'Cash Flow Analysis'!C101)</f>
        <v>34</v>
      </c>
      <c r="B85" s="1088">
        <f ca="1">IF(A85="","",IF(A85&lt;1,0,IF(A85=1,$B$44-'Cash Flow Analysis'!I101,-'Cash Flow Analysis'!I101)))</f>
        <v>2718440.0855616662</v>
      </c>
      <c r="C85" s="108">
        <f t="shared" ref="C85:W85" ca="1" si="39">IF($B$85="","",IF(AND($B$42="Straight Line",C48&lt;=depr_length),$B$85/depr_length,IF(AND($B$42="MACRS",C48&lt;=depr_length+1),$B$85*INDEX(MACRS_Table,MATCH(C48,recovery_year,0),MATCH($B$43,recovery_period,0)),"")))</f>
        <v>101941.50320856248</v>
      </c>
      <c r="D85" s="109">
        <f t="shared" ca="1" si="39"/>
        <v>196244.1897766967</v>
      </c>
      <c r="E85" s="109">
        <f t="shared" ca="1" si="39"/>
        <v>181510.24451295243</v>
      </c>
      <c r="F85" s="109">
        <f t="shared" ca="1" si="39"/>
        <v>167918.04408514412</v>
      </c>
      <c r="G85" s="109">
        <f t="shared" ca="1" si="39"/>
        <v>155304.482088138</v>
      </c>
      <c r="H85" s="109">
        <f t="shared" ca="1" si="39"/>
        <v>143669.55852193406</v>
      </c>
      <c r="I85" s="109">
        <f t="shared" ca="1" si="39"/>
        <v>132877.35138225424</v>
      </c>
      <c r="J85" s="109">
        <f t="shared" ca="1" si="39"/>
        <v>122927.86066909855</v>
      </c>
      <c r="K85" s="109">
        <f t="shared" ca="1" si="39"/>
        <v>121296.79661776155</v>
      </c>
      <c r="L85" s="109">
        <f t="shared" ca="1" si="39"/>
        <v>121269.61221690592</v>
      </c>
      <c r="M85" s="109">
        <f t="shared" ca="1" si="39"/>
        <v>121296.79661776155</v>
      </c>
      <c r="N85" s="109">
        <f t="shared" ca="1" si="39"/>
        <v>121269.61221690592</v>
      </c>
      <c r="O85" s="109">
        <f t="shared" ca="1" si="39"/>
        <v>121296.79661776155</v>
      </c>
      <c r="P85" s="109">
        <f t="shared" ca="1" si="39"/>
        <v>121269.61221690592</v>
      </c>
      <c r="Q85" s="109">
        <f t="shared" ca="1" si="39"/>
        <v>121296.79661776155</v>
      </c>
      <c r="R85" s="109">
        <f t="shared" ca="1" si="39"/>
        <v>121269.61221690592</v>
      </c>
      <c r="S85" s="109">
        <f t="shared" ca="1" si="39"/>
        <v>121296.79661776155</v>
      </c>
      <c r="T85" s="109">
        <f t="shared" ca="1" si="39"/>
        <v>121269.61221690592</v>
      </c>
      <c r="U85" s="109">
        <f t="shared" ca="1" si="39"/>
        <v>121296.79661776155</v>
      </c>
      <c r="V85" s="109">
        <f t="shared" ca="1" si="39"/>
        <v>121269.61221690592</v>
      </c>
      <c r="W85" s="110">
        <f t="shared" ca="1" si="39"/>
        <v>60648.398308880773</v>
      </c>
      <c r="X85" s="107">
        <f t="shared" ca="1" si="3"/>
        <v>2718440.0855616666</v>
      </c>
    </row>
    <row r="86" spans="1:24" ht="15" customHeight="1" x14ac:dyDescent="0.25">
      <c r="A86" s="75">
        <f>IF('Cash Flow Analysis'!C102="","",'Cash Flow Analysis'!C102)</f>
        <v>35</v>
      </c>
      <c r="B86" s="1088">
        <f ca="1">IF(A86="","",IF(A86&lt;1,0,IF(A86=1,$B$44-'Cash Flow Analysis'!I102,-'Cash Flow Analysis'!I102)))</f>
        <v>2770090.4471873376</v>
      </c>
      <c r="C86" s="108">
        <f t="shared" ref="C86:W86" ca="1" si="40">IF($B$86="","",IF(AND($B$42="Straight Line",C48&lt;=depr_length),$B$86/depr_length,IF(AND($B$42="MACRS",C48&lt;=depr_length+1),$B$86*INDEX(MACRS_Table,MATCH(C48,recovery_year,0),MATCH($B$43,recovery_period,0)),"")))</f>
        <v>103878.39176952516</v>
      </c>
      <c r="D86" s="109">
        <f t="shared" ca="1" si="40"/>
        <v>199972.8293824539</v>
      </c>
      <c r="E86" s="109">
        <f t="shared" ca="1" si="40"/>
        <v>184958.93915869851</v>
      </c>
      <c r="F86" s="109">
        <f t="shared" ca="1" si="40"/>
        <v>171108.48692276183</v>
      </c>
      <c r="G86" s="109">
        <f t="shared" ca="1" si="40"/>
        <v>158255.26724781259</v>
      </c>
      <c r="H86" s="109">
        <f t="shared" ca="1" si="40"/>
        <v>146399.28013385079</v>
      </c>
      <c r="I86" s="109">
        <f t="shared" ca="1" si="40"/>
        <v>135402.02105851707</v>
      </c>
      <c r="J86" s="109">
        <f t="shared" ca="1" si="40"/>
        <v>125263.49002181142</v>
      </c>
      <c r="K86" s="109">
        <f t="shared" ca="1" si="40"/>
        <v>123601.435753499</v>
      </c>
      <c r="L86" s="109">
        <f t="shared" ca="1" si="40"/>
        <v>123573.73484902713</v>
      </c>
      <c r="M86" s="109">
        <f t="shared" ca="1" si="40"/>
        <v>123601.435753499</v>
      </c>
      <c r="N86" s="109">
        <f t="shared" ca="1" si="40"/>
        <v>123573.73484902713</v>
      </c>
      <c r="O86" s="109">
        <f t="shared" ca="1" si="40"/>
        <v>123601.435753499</v>
      </c>
      <c r="P86" s="109">
        <f t="shared" ca="1" si="40"/>
        <v>123573.73484902713</v>
      </c>
      <c r="Q86" s="109">
        <f t="shared" ca="1" si="40"/>
        <v>123601.435753499</v>
      </c>
      <c r="R86" s="109">
        <f t="shared" ca="1" si="40"/>
        <v>123573.73484902713</v>
      </c>
      <c r="S86" s="109">
        <f t="shared" ca="1" si="40"/>
        <v>123601.435753499</v>
      </c>
      <c r="T86" s="109">
        <f t="shared" ca="1" si="40"/>
        <v>123573.73484902713</v>
      </c>
      <c r="U86" s="109">
        <f t="shared" ca="1" si="40"/>
        <v>123601.435753499</v>
      </c>
      <c r="V86" s="109">
        <f t="shared" ca="1" si="40"/>
        <v>123573.73484902713</v>
      </c>
      <c r="W86" s="110">
        <f t="shared" ca="1" si="40"/>
        <v>61800.717876749499</v>
      </c>
      <c r="X86" s="107">
        <f t="shared" ca="1" si="3"/>
        <v>2770090.4471873376</v>
      </c>
    </row>
    <row r="87" spans="1:24" ht="15" customHeight="1" x14ac:dyDescent="0.25">
      <c r="A87" s="75">
        <f>IF('Cash Flow Analysis'!C103="","",'Cash Flow Analysis'!C103)</f>
        <v>36</v>
      </c>
      <c r="B87" s="1088">
        <f ca="1">IF(A87="","",IF(A87&lt;1,0,IF(A87=1,$B$44-'Cash Flow Analysis'!I103,-'Cash Flow Analysis'!I103)))</f>
        <v>2822722.1656838972</v>
      </c>
      <c r="C87" s="108">
        <f t="shared" ref="C87:W87" ca="1" si="41">IF($B$87="","",IF(AND($B$42="Straight Line",C48&lt;=depr_length),$B$87/depr_length,IF(AND($B$42="MACRS",C48&lt;=depr_length+1),$B$87*INDEX(MACRS_Table,MATCH(C48,recovery_year,0),MATCH($B$43,recovery_period,0)),"")))</f>
        <v>105852.08121314614</v>
      </c>
      <c r="D87" s="109">
        <f t="shared" ca="1" si="41"/>
        <v>203772.31314072057</v>
      </c>
      <c r="E87" s="109">
        <f t="shared" ca="1" si="41"/>
        <v>188473.1590027138</v>
      </c>
      <c r="F87" s="109">
        <f t="shared" ca="1" si="41"/>
        <v>174359.54817429432</v>
      </c>
      <c r="G87" s="109">
        <f t="shared" ca="1" si="41"/>
        <v>161262.11732552105</v>
      </c>
      <c r="H87" s="109">
        <f t="shared" ca="1" si="41"/>
        <v>149180.86645639397</v>
      </c>
      <c r="I87" s="109">
        <f t="shared" ca="1" si="41"/>
        <v>137974.65945862888</v>
      </c>
      <c r="J87" s="109">
        <f t="shared" ca="1" si="41"/>
        <v>127643.49633222584</v>
      </c>
      <c r="K87" s="109">
        <f t="shared" ca="1" si="41"/>
        <v>125949.8630328155</v>
      </c>
      <c r="L87" s="109">
        <f t="shared" ca="1" si="41"/>
        <v>125921.63581115865</v>
      </c>
      <c r="M87" s="109">
        <f t="shared" ca="1" si="41"/>
        <v>125949.8630328155</v>
      </c>
      <c r="N87" s="109">
        <f t="shared" ca="1" si="41"/>
        <v>125921.63581115865</v>
      </c>
      <c r="O87" s="109">
        <f t="shared" ca="1" si="41"/>
        <v>125949.8630328155</v>
      </c>
      <c r="P87" s="109">
        <f t="shared" ca="1" si="41"/>
        <v>125921.63581115865</v>
      </c>
      <c r="Q87" s="109">
        <f t="shared" ca="1" si="41"/>
        <v>125949.8630328155</v>
      </c>
      <c r="R87" s="109">
        <f t="shared" ca="1" si="41"/>
        <v>125921.63581115865</v>
      </c>
      <c r="S87" s="109">
        <f t="shared" ca="1" si="41"/>
        <v>125949.8630328155</v>
      </c>
      <c r="T87" s="109">
        <f t="shared" ca="1" si="41"/>
        <v>125921.63581115865</v>
      </c>
      <c r="U87" s="109">
        <f t="shared" ca="1" si="41"/>
        <v>125949.8630328155</v>
      </c>
      <c r="V87" s="109">
        <f t="shared" ca="1" si="41"/>
        <v>125921.63581115865</v>
      </c>
      <c r="W87" s="110">
        <f t="shared" ca="1" si="41"/>
        <v>62974.931516407749</v>
      </c>
      <c r="X87" s="107">
        <f t="shared" ca="1" si="3"/>
        <v>2822722.1656838967</v>
      </c>
    </row>
    <row r="88" spans="1:24" ht="15" customHeight="1" x14ac:dyDescent="0.25">
      <c r="A88" s="75">
        <f>IF('Cash Flow Analysis'!C104="","",'Cash Flow Analysis'!C104)</f>
        <v>37</v>
      </c>
      <c r="B88" s="1088">
        <f ca="1">IF(A88="","",IF(A88&lt;1,0,IF(A88=1,$B$44-'Cash Flow Analysis'!I104,-'Cash Flow Analysis'!I104)))</f>
        <v>2876353.8868318913</v>
      </c>
      <c r="C88" s="108">
        <f t="shared" ref="C88:W88" ca="1" si="42">IF($B$88="","",IF(AND($B$42="Straight Line",C48&lt;=depr_length),$B$88/depr_length,IF(AND($B$42="MACRS",C48&lt;=depr_length+1),$B$88*INDEX(MACRS_Table,MATCH(C48,recovery_year,0),MATCH($B$43,recovery_period,0)),"")))</f>
        <v>107863.27075619593</v>
      </c>
      <c r="D88" s="109">
        <f t="shared" ca="1" si="42"/>
        <v>207643.98709039425</v>
      </c>
      <c r="E88" s="109">
        <f t="shared" ca="1" si="42"/>
        <v>192054.14902376538</v>
      </c>
      <c r="F88" s="109">
        <f t="shared" ca="1" si="42"/>
        <v>177672.37958960593</v>
      </c>
      <c r="G88" s="109">
        <f t="shared" ca="1" si="42"/>
        <v>164326.09755470595</v>
      </c>
      <c r="H88" s="109">
        <f t="shared" ca="1" si="42"/>
        <v>152015.30291906546</v>
      </c>
      <c r="I88" s="109">
        <f t="shared" ca="1" si="42"/>
        <v>140596.17798834285</v>
      </c>
      <c r="J88" s="109">
        <f t="shared" ca="1" si="42"/>
        <v>130068.72276253813</v>
      </c>
      <c r="K88" s="109">
        <f t="shared" ca="1" si="42"/>
        <v>128342.91043043899</v>
      </c>
      <c r="L88" s="109">
        <f t="shared" ca="1" si="42"/>
        <v>128314.14689157066</v>
      </c>
      <c r="M88" s="109">
        <f t="shared" ca="1" si="42"/>
        <v>128342.91043043899</v>
      </c>
      <c r="N88" s="109">
        <f t="shared" ca="1" si="42"/>
        <v>128314.14689157066</v>
      </c>
      <c r="O88" s="109">
        <f t="shared" ca="1" si="42"/>
        <v>128342.91043043899</v>
      </c>
      <c r="P88" s="109">
        <f t="shared" ca="1" si="42"/>
        <v>128314.14689157066</v>
      </c>
      <c r="Q88" s="109">
        <f t="shared" ca="1" si="42"/>
        <v>128342.91043043899</v>
      </c>
      <c r="R88" s="109">
        <f t="shared" ca="1" si="42"/>
        <v>128314.14689157066</v>
      </c>
      <c r="S88" s="109">
        <f t="shared" ca="1" si="42"/>
        <v>128342.91043043899</v>
      </c>
      <c r="T88" s="109">
        <f t="shared" ca="1" si="42"/>
        <v>128314.14689157066</v>
      </c>
      <c r="U88" s="109">
        <f t="shared" ca="1" si="42"/>
        <v>128342.91043043899</v>
      </c>
      <c r="V88" s="109">
        <f t="shared" ca="1" si="42"/>
        <v>128314.14689157066</v>
      </c>
      <c r="W88" s="110">
        <f t="shared" ca="1" si="42"/>
        <v>64171.455215219496</v>
      </c>
      <c r="X88" s="107">
        <f t="shared" ca="1" si="3"/>
        <v>2876353.8868318908</v>
      </c>
    </row>
    <row r="89" spans="1:24" ht="15" customHeight="1" x14ac:dyDescent="0.25">
      <c r="A89" s="75">
        <f>IF('Cash Flow Analysis'!C105="","",'Cash Flow Analysis'!C105)</f>
        <v>38</v>
      </c>
      <c r="B89" s="1088">
        <f ca="1">IF(A89="","",IF(A89&lt;1,0,IF(A89=1,$B$44-'Cash Flow Analysis'!I105,-'Cash Flow Analysis'!I105)))</f>
        <v>2931004.6106816963</v>
      </c>
      <c r="C89" s="108">
        <f t="shared" ref="C89:W89" ca="1" si="43">IF($B$89="","",IF(AND($B$42="Straight Line",C48&lt;=depr_length),$B$89/depr_length,IF(AND($B$42="MACRS",C48&lt;=depr_length+1),$B$89*INDEX(MACRS_Table,MATCH(C48,recovery_year,0),MATCH($B$43,recovery_period,0)),"")))</f>
        <v>109912.67290056362</v>
      </c>
      <c r="D89" s="109">
        <f t="shared" ca="1" si="43"/>
        <v>211589.22284511168</v>
      </c>
      <c r="E89" s="109">
        <f t="shared" ca="1" si="43"/>
        <v>195703.17785521684</v>
      </c>
      <c r="F89" s="109">
        <f t="shared" ca="1" si="43"/>
        <v>181048.15480180838</v>
      </c>
      <c r="G89" s="109">
        <f t="shared" ca="1" si="43"/>
        <v>167448.29340824531</v>
      </c>
      <c r="H89" s="109">
        <f t="shared" ca="1" si="43"/>
        <v>154903.59367452766</v>
      </c>
      <c r="I89" s="109">
        <f t="shared" ca="1" si="43"/>
        <v>143267.5053701213</v>
      </c>
      <c r="J89" s="109">
        <f t="shared" ca="1" si="43"/>
        <v>132540.02849502632</v>
      </c>
      <c r="K89" s="109">
        <f t="shared" ca="1" si="43"/>
        <v>130781.42572861729</v>
      </c>
      <c r="L89" s="109">
        <f t="shared" ca="1" si="43"/>
        <v>130752.11568251047</v>
      </c>
      <c r="M89" s="109">
        <f t="shared" ca="1" si="43"/>
        <v>130781.42572861729</v>
      </c>
      <c r="N89" s="109">
        <f t="shared" ca="1" si="43"/>
        <v>130752.11568251047</v>
      </c>
      <c r="O89" s="109">
        <f t="shared" ca="1" si="43"/>
        <v>130781.42572861729</v>
      </c>
      <c r="P89" s="109">
        <f t="shared" ca="1" si="43"/>
        <v>130752.11568251047</v>
      </c>
      <c r="Q89" s="109">
        <f t="shared" ca="1" si="43"/>
        <v>130781.42572861729</v>
      </c>
      <c r="R89" s="109">
        <f t="shared" ca="1" si="43"/>
        <v>130752.11568251047</v>
      </c>
      <c r="S89" s="109">
        <f t="shared" ca="1" si="43"/>
        <v>130781.42572861729</v>
      </c>
      <c r="T89" s="109">
        <f t="shared" ca="1" si="43"/>
        <v>130752.11568251047</v>
      </c>
      <c r="U89" s="109">
        <f t="shared" ca="1" si="43"/>
        <v>130781.42572861729</v>
      </c>
      <c r="V89" s="109">
        <f t="shared" ca="1" si="43"/>
        <v>130752.11568251047</v>
      </c>
      <c r="W89" s="110">
        <f t="shared" ca="1" si="43"/>
        <v>65390.712864308647</v>
      </c>
      <c r="X89" s="107">
        <f t="shared" ca="1" si="3"/>
        <v>2931004.6106816963</v>
      </c>
    </row>
    <row r="90" spans="1:24" ht="15" customHeight="1" x14ac:dyDescent="0.25">
      <c r="A90" s="75">
        <f>IF('Cash Flow Analysis'!C106="","",'Cash Flow Analysis'!C106)</f>
        <v>39</v>
      </c>
      <c r="B90" s="1088">
        <f ca="1">IF(A90="","",IF(A90&lt;1,0,IF(A90=1,$B$44-'Cash Flow Analysis'!I106,-'Cash Flow Analysis'!I106)))</f>
        <v>2986693.6982846488</v>
      </c>
      <c r="C90" s="108">
        <f t="shared" ref="C90:W90" ca="1" si="44">IF($B$90="","",IF(AND($B$42="Straight Line",C48&lt;=depr_length),$B$90/depr_length,IF(AND($B$42="MACRS",C48&lt;=depr_length+1),$B$90*INDEX(MACRS_Table,MATCH(C48,recovery_year,0),MATCH($B$43,recovery_period,0)),"")))</f>
        <v>112001.01368567433</v>
      </c>
      <c r="D90" s="109">
        <f t="shared" ca="1" si="44"/>
        <v>215609.4180791688</v>
      </c>
      <c r="E90" s="109">
        <f t="shared" ca="1" si="44"/>
        <v>199421.53823446599</v>
      </c>
      <c r="F90" s="109">
        <f t="shared" ca="1" si="44"/>
        <v>184488.06974304275</v>
      </c>
      <c r="G90" s="109">
        <f t="shared" ca="1" si="44"/>
        <v>170629.81098300198</v>
      </c>
      <c r="H90" s="109">
        <f t="shared" ca="1" si="44"/>
        <v>157846.7619543437</v>
      </c>
      <c r="I90" s="109">
        <f t="shared" ca="1" si="44"/>
        <v>145989.58797215365</v>
      </c>
      <c r="J90" s="109">
        <f t="shared" ca="1" si="44"/>
        <v>135058.28903643182</v>
      </c>
      <c r="K90" s="109">
        <f t="shared" ca="1" si="44"/>
        <v>133266.27281746102</v>
      </c>
      <c r="L90" s="109">
        <f t="shared" ca="1" si="44"/>
        <v>133236.40588047818</v>
      </c>
      <c r="M90" s="109">
        <f t="shared" ca="1" si="44"/>
        <v>133266.27281746102</v>
      </c>
      <c r="N90" s="109">
        <f t="shared" ca="1" si="44"/>
        <v>133236.40588047818</v>
      </c>
      <c r="O90" s="109">
        <f t="shared" ca="1" si="44"/>
        <v>133266.27281746102</v>
      </c>
      <c r="P90" s="109">
        <f t="shared" ca="1" si="44"/>
        <v>133236.40588047818</v>
      </c>
      <c r="Q90" s="109">
        <f t="shared" ca="1" si="44"/>
        <v>133266.27281746102</v>
      </c>
      <c r="R90" s="109">
        <f t="shared" ca="1" si="44"/>
        <v>133236.40588047818</v>
      </c>
      <c r="S90" s="109">
        <f t="shared" ca="1" si="44"/>
        <v>133266.27281746102</v>
      </c>
      <c r="T90" s="109">
        <f t="shared" ca="1" si="44"/>
        <v>133236.40588047818</v>
      </c>
      <c r="U90" s="109">
        <f t="shared" ca="1" si="44"/>
        <v>133266.27281746102</v>
      </c>
      <c r="V90" s="109">
        <f t="shared" ca="1" si="44"/>
        <v>133236.40588047818</v>
      </c>
      <c r="W90" s="110">
        <f t="shared" ca="1" si="44"/>
        <v>66633.136408730512</v>
      </c>
      <c r="X90" s="107">
        <f t="shared" ca="1" si="3"/>
        <v>2986693.6982846484</v>
      </c>
    </row>
    <row r="91" spans="1:24" ht="15" customHeight="1" x14ac:dyDescent="0.25">
      <c r="A91" s="75">
        <f>IF('Cash Flow Analysis'!C107="","",'Cash Flow Analysis'!C107)</f>
        <v>40</v>
      </c>
      <c r="B91" s="1088">
        <f ca="1">IF(A91="","",IF(A91&lt;1,0,IF(A91=1,$B$44-'Cash Flow Analysis'!I107,-'Cash Flow Analysis'!I107)))</f>
        <v>3043440.8785520573</v>
      </c>
      <c r="C91" s="108">
        <f t="shared" ref="C91:W91" ca="1" si="45">IF($B$91="","",IF(AND($B$42="Straight Line",C48&lt;=depr_length),$B$91/depr_length,IF(AND($B$42="MACRS",C48&lt;=depr_length+1),$B$91*INDEX(MACRS_Table,MATCH(C48,recovery_year,0),MATCH($B$43,recovery_period,0)),"")))</f>
        <v>114129.03294570214</v>
      </c>
      <c r="D91" s="109">
        <f t="shared" ca="1" si="45"/>
        <v>219705.99702267302</v>
      </c>
      <c r="E91" s="109">
        <f t="shared" ca="1" si="45"/>
        <v>203210.54746092085</v>
      </c>
      <c r="F91" s="109">
        <f t="shared" ca="1" si="45"/>
        <v>187993.34306816058</v>
      </c>
      <c r="G91" s="109">
        <f t="shared" ca="1" si="45"/>
        <v>173871.77739167903</v>
      </c>
      <c r="H91" s="109">
        <f t="shared" ca="1" si="45"/>
        <v>160845.85043147622</v>
      </c>
      <c r="I91" s="109">
        <f t="shared" ca="1" si="45"/>
        <v>148763.39014362457</v>
      </c>
      <c r="J91" s="109">
        <f t="shared" ca="1" si="45"/>
        <v>137624.39652812405</v>
      </c>
      <c r="K91" s="109">
        <f t="shared" ca="1" si="45"/>
        <v>135798.33200099278</v>
      </c>
      <c r="L91" s="109">
        <f t="shared" ca="1" si="45"/>
        <v>135767.89759220727</v>
      </c>
      <c r="M91" s="109">
        <f t="shared" ca="1" si="45"/>
        <v>135798.33200099278</v>
      </c>
      <c r="N91" s="109">
        <f t="shared" ca="1" si="45"/>
        <v>135767.89759220727</v>
      </c>
      <c r="O91" s="109">
        <f t="shared" ca="1" si="45"/>
        <v>135798.33200099278</v>
      </c>
      <c r="P91" s="109">
        <f t="shared" ca="1" si="45"/>
        <v>135767.89759220727</v>
      </c>
      <c r="Q91" s="109">
        <f t="shared" ca="1" si="45"/>
        <v>135798.33200099278</v>
      </c>
      <c r="R91" s="109">
        <f t="shared" ca="1" si="45"/>
        <v>135767.89759220727</v>
      </c>
      <c r="S91" s="109">
        <f t="shared" ca="1" si="45"/>
        <v>135798.33200099278</v>
      </c>
      <c r="T91" s="109">
        <f t="shared" ca="1" si="45"/>
        <v>135767.89759220727</v>
      </c>
      <c r="U91" s="109">
        <f t="shared" ca="1" si="45"/>
        <v>135798.33200099278</v>
      </c>
      <c r="V91" s="109">
        <f t="shared" ca="1" si="45"/>
        <v>135767.89759220727</v>
      </c>
      <c r="W91" s="110">
        <f t="shared" ca="1" si="45"/>
        <v>67899.166000496392</v>
      </c>
      <c r="X91" s="107">
        <f t="shared" ca="1" si="3"/>
        <v>3043440.8785520573</v>
      </c>
    </row>
    <row r="92" spans="1:24" ht="15" customHeight="1" thickBot="1" x14ac:dyDescent="0.3">
      <c r="A92" s="79" t="str">
        <f>IF('Cash Flow Analysis'!C108="","",'Cash Flow Analysis'!C108)</f>
        <v/>
      </c>
      <c r="B92" s="1088"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5">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3">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4">
      <c r="A95" s="98" t="s">
        <v>59</v>
      </c>
      <c r="B95" s="64"/>
      <c r="C95" s="65"/>
    </row>
    <row r="96" spans="1:24" ht="31.15" customHeight="1" thickTop="1" x14ac:dyDescent="0.3">
      <c r="A96" s="116" t="s">
        <v>56</v>
      </c>
      <c r="B96" s="117" t="s">
        <v>60</v>
      </c>
      <c r="C96" s="118" t="s">
        <v>61</v>
      </c>
    </row>
    <row r="97" spans="1:3" ht="15" customHeight="1" x14ac:dyDescent="0.25">
      <c r="A97" s="94">
        <f>IF('Cash Flow Analysis'!C65="","",'Cash Flow Analysis'!C65)</f>
        <v>-3</v>
      </c>
      <c r="B97" s="109">
        <f>C49</f>
        <v>0</v>
      </c>
      <c r="C97" s="119">
        <f t="shared" ref="C97:C140" si="47">IF(A97="",B97,0)</f>
        <v>0</v>
      </c>
    </row>
    <row r="98" spans="1:3" ht="15" customHeight="1" x14ac:dyDescent="0.25">
      <c r="A98" s="94">
        <f>IF('Cash Flow Analysis'!C66="","",'Cash Flow Analysis'!C66)</f>
        <v>-2</v>
      </c>
      <c r="B98" s="109">
        <f>SUM(D49,C50)</f>
        <v>0</v>
      </c>
      <c r="C98" s="119">
        <f t="shared" si="47"/>
        <v>0</v>
      </c>
    </row>
    <row r="99" spans="1:3" ht="15" customHeight="1" x14ac:dyDescent="0.25">
      <c r="A99" s="94">
        <f>IF('Cash Flow Analysis'!C67="","",'Cash Flow Analysis'!C67)</f>
        <v>-1</v>
      </c>
      <c r="B99" s="109">
        <f>SUM(E49,D50,C51)</f>
        <v>0</v>
      </c>
      <c r="C99" s="119">
        <f t="shared" si="47"/>
        <v>0</v>
      </c>
    </row>
    <row r="100" spans="1:3" ht="15" customHeight="1" x14ac:dyDescent="0.25">
      <c r="A100" s="94">
        <f>IF('Cash Flow Analysis'!C68="","",'Cash Flow Analysis'!C68)</f>
        <v>1</v>
      </c>
      <c r="B100" s="109">
        <f ca="1">SUM(F49,E50,D51,C52)</f>
        <v>10506886.137106877</v>
      </c>
      <c r="C100" s="119">
        <f t="shared" si="47"/>
        <v>0</v>
      </c>
    </row>
    <row r="101" spans="1:3" ht="15" customHeight="1" x14ac:dyDescent="0.25">
      <c r="A101" s="94">
        <f>IF('Cash Flow Analysis'!C69="","",'Cash Flow Analysis'!C69)</f>
        <v>2</v>
      </c>
      <c r="B101" s="109">
        <f ca="1">SUM(G49,F50,E51,D52,C53)</f>
        <v>20282274.642361216</v>
      </c>
      <c r="C101" s="119">
        <f t="shared" si="47"/>
        <v>0</v>
      </c>
    </row>
    <row r="102" spans="1:3" ht="15" customHeight="1" x14ac:dyDescent="0.25">
      <c r="A102" s="94">
        <f>IF('Cash Flow Analysis'!C70="","",'Cash Flow Analysis'!C70)</f>
        <v>3</v>
      </c>
      <c r="B102" s="109">
        <f ca="1">SUM(H49,G50,F51,E52,D53,C54)</f>
        <v>18872193.997261468</v>
      </c>
      <c r="C102" s="119">
        <f t="shared" si="47"/>
        <v>0</v>
      </c>
    </row>
    <row r="103" spans="1:3" ht="15" customHeight="1" x14ac:dyDescent="0.25">
      <c r="A103" s="94">
        <f>IF('Cash Flow Analysis'!C71="","",'Cash Flow Analysis'!C71)</f>
        <v>4</v>
      </c>
      <c r="B103" s="109">
        <f ca="1">SUM(I49,H50,G51,F52,E53,D54,C55)</f>
        <v>17573784.639907014</v>
      </c>
      <c r="C103" s="119">
        <f t="shared" si="47"/>
        <v>0</v>
      </c>
    </row>
    <row r="104" spans="1:3" ht="15" customHeight="1" x14ac:dyDescent="0.25">
      <c r="A104" s="94">
        <f>IF('Cash Flow Analysis'!C72="","",'Cash Flow Analysis'!C72)</f>
        <v>5</v>
      </c>
      <c r="B104" s="109">
        <f ca="1">SUM(J49,I50,H51,G52,F53,E54,D55,C56)</f>
        <v>16370746.607312424</v>
      </c>
      <c r="C104" s="119">
        <f t="shared" si="47"/>
        <v>0</v>
      </c>
    </row>
    <row r="105" spans="1:3" ht="15" customHeight="1" x14ac:dyDescent="0.25">
      <c r="A105" s="94">
        <f>IF('Cash Flow Analysis'!C73="","",'Cash Flow Analysis'!C73)</f>
        <v>6</v>
      </c>
      <c r="B105" s="109">
        <f ca="1">SUM(K49,J50,I51,H52,G53,F54,E55,D56,C57)</f>
        <v>15263511.354962545</v>
      </c>
      <c r="C105" s="119">
        <f t="shared" si="47"/>
        <v>0</v>
      </c>
    </row>
    <row r="106" spans="1:3" ht="15" customHeight="1" x14ac:dyDescent="0.25">
      <c r="A106" s="94">
        <f>IF('Cash Flow Analysis'!C74="","",'Cash Flow Analysis'!C74)</f>
        <v>7</v>
      </c>
      <c r="B106" s="109">
        <f ca="1">SUM(L49,K50,J51,I52,H53,G54,F55,E56,D57,C58)</f>
        <v>14238509.35448028</v>
      </c>
      <c r="C106" s="119">
        <f t="shared" si="47"/>
        <v>0</v>
      </c>
    </row>
    <row r="107" spans="1:3" ht="15" customHeight="1" x14ac:dyDescent="0.25">
      <c r="A107" s="94">
        <f>IF('Cash Flow Analysis'!C75="","",'Cash Flow Analysis'!C75)</f>
        <v>8</v>
      </c>
      <c r="B107" s="109">
        <f ca="1">SUM(M49,L50,K51,J52,I53,H54,G55,F56,E57,D58,C59)</f>
        <v>13296114.187921835</v>
      </c>
      <c r="C107" s="119">
        <f t="shared" si="47"/>
        <v>0</v>
      </c>
    </row>
    <row r="108" spans="1:3" ht="15" customHeight="1" x14ac:dyDescent="0.25">
      <c r="A108" s="94">
        <f>IF('Cash Flow Analysis'!C76="","",'Cash Flow Analysis'!C76)</f>
        <v>9</v>
      </c>
      <c r="B108" s="109">
        <f ca="1">SUM(N49,M50,L51,K52,J53,I54,H55,G56,F57,E58,D59,C60)</f>
        <v>13207211.518790336</v>
      </c>
      <c r="C108" s="119">
        <f t="shared" si="47"/>
        <v>0</v>
      </c>
    </row>
    <row r="109" spans="1:3" ht="15" customHeight="1" x14ac:dyDescent="0.25">
      <c r="A109" s="94">
        <f>IF('Cash Flow Analysis'!C77="","",'Cash Flow Analysis'!C77)</f>
        <v>10</v>
      </c>
      <c r="B109" s="109">
        <f ca="1">SUM(O49,N50,M51,L52,K53,J54,I55,H56,G57,F58,E59,D60,C61)</f>
        <v>13284229.040311828</v>
      </c>
      <c r="C109" s="119">
        <f t="shared" si="47"/>
        <v>0</v>
      </c>
    </row>
    <row r="110" spans="1:3" ht="15" customHeight="1" x14ac:dyDescent="0.25">
      <c r="A110" s="94">
        <f>IF('Cash Flow Analysis'!C78="","",'Cash Flow Analysis'!C78)</f>
        <v>11</v>
      </c>
      <c r="B110" s="109">
        <f ca="1">SUM(P49,O50,N51,M52,L53,K54,J55,I56,H57,G58,F59,E60,D61,C62)</f>
        <v>13368351.917339951</v>
      </c>
      <c r="C110" s="119">
        <f t="shared" si="47"/>
        <v>0</v>
      </c>
    </row>
    <row r="111" spans="1:3" ht="15" customHeight="1" x14ac:dyDescent="0.25">
      <c r="A111" s="94">
        <f>IF('Cash Flow Analysis'!C79="","",'Cash Flow Analysis'!C79)</f>
        <v>12</v>
      </c>
      <c r="B111" s="109">
        <f ca="1">SUM(Q49,P50,O51,N52,M53,L54,K55,J56,I57,H58,G59,F60,E61,D62,C63)</f>
        <v>13448431.106433887</v>
      </c>
      <c r="C111" s="119">
        <f t="shared" si="47"/>
        <v>0</v>
      </c>
    </row>
    <row r="112" spans="1:3" ht="15" customHeight="1" x14ac:dyDescent="0.25">
      <c r="A112" s="94">
        <f>IF('Cash Flow Analysis'!C80="","",'Cash Flow Analysis'!C80)</f>
        <v>13</v>
      </c>
      <c r="B112" s="109">
        <f ca="1">SUM(R49,Q50,P51,O52,N53,M54,L55,K56,J57,I58,H59,G60,F61,E62,D63,C64)</f>
        <v>13535673.822718328</v>
      </c>
      <c r="C112" s="119">
        <f t="shared" si="47"/>
        <v>0</v>
      </c>
    </row>
    <row r="113" spans="1:3" ht="15" customHeight="1" x14ac:dyDescent="0.25">
      <c r="A113" s="94">
        <f>IF('Cash Flow Analysis'!C81="","",'Cash Flow Analysis'!C81)</f>
        <v>14</v>
      </c>
      <c r="B113" s="109">
        <f ca="1">SUM(S49,R50,Q51,P52,O53,N54,M55,L56,K57,J58,I59,H60,G61,F62,E63,D64,C65)</f>
        <v>13618932.128014455</v>
      </c>
      <c r="C113" s="119">
        <f t="shared" si="47"/>
        <v>0</v>
      </c>
    </row>
    <row r="114" spans="1:3" ht="15" customHeight="1" x14ac:dyDescent="0.25">
      <c r="A114" s="94">
        <f>IF('Cash Flow Analysis'!C82="","",'Cash Flow Analysis'!C82)</f>
        <v>15</v>
      </c>
      <c r="B114" s="109">
        <f ca="1">SUM(T49,S50,R51,Q52,P53,O54,N55,M56,L57,K58,J59,I60,H61,G62,F63,E64,D65,C66)</f>
        <v>13709414.36370893</v>
      </c>
      <c r="C114" s="119">
        <f t="shared" si="47"/>
        <v>0</v>
      </c>
    </row>
    <row r="115" spans="1:3" ht="15" customHeight="1" x14ac:dyDescent="0.25">
      <c r="A115" s="94">
        <f>IF('Cash Flow Analysis'!C83="","",'Cash Flow Analysis'!C83)</f>
        <v>16</v>
      </c>
      <c r="B115" s="109">
        <f ca="1">SUM(U49,T50,S51,R52,Q53,P54,O55,N56,M57,L58,K59,J60,I61,H62,G63,F64,E65,D66,C67)</f>
        <v>13795973.739283869</v>
      </c>
      <c r="C115" s="119">
        <f t="shared" si="47"/>
        <v>0</v>
      </c>
    </row>
    <row r="116" spans="1:3" ht="15" customHeight="1" x14ac:dyDescent="0.25">
      <c r="A116" s="94">
        <f>IF('Cash Flow Analysis'!C84="","",'Cash Flow Analysis'!C84)</f>
        <v>17</v>
      </c>
      <c r="B116" s="109">
        <f ca="1">SUM(V49,U50,T51,S52,R53,Q54,P55,O56,N57,M58,L59,K60,J61,I62,H63,G64,F65,E66,D67,C68)</f>
        <v>13889819.765592465</v>
      </c>
      <c r="C116" s="119">
        <f t="shared" si="47"/>
        <v>0</v>
      </c>
    </row>
    <row r="117" spans="1:3" ht="15" customHeight="1" x14ac:dyDescent="0.25">
      <c r="A117" s="94">
        <f>IF('Cash Flow Analysis'!C85="","",'Cash Flow Analysis'!C85)</f>
        <v>18</v>
      </c>
      <c r="B117" s="109">
        <f t="shared" ref="B117:B140" ca="1" si="48">SUM(W49,V50,U51,T52,S53,R54,Q55,P56,O57,N58,M59,L60,K61,J62,I63,H64,G65,F66,E67,D68,C69)</f>
        <v>13979806.843803197</v>
      </c>
      <c r="C117" s="119">
        <f t="shared" si="47"/>
        <v>0</v>
      </c>
    </row>
    <row r="118" spans="1:3" ht="15" customHeight="1" x14ac:dyDescent="0.25">
      <c r="A118" s="94">
        <f>IF('Cash Flow Analysis'!C86="","",'Cash Flow Analysis'!C86)</f>
        <v>19</v>
      </c>
      <c r="B118" s="109">
        <f t="shared" ca="1" si="48"/>
        <v>14077145.699097659</v>
      </c>
      <c r="C118" s="119">
        <f t="shared" si="47"/>
        <v>0</v>
      </c>
    </row>
    <row r="119" spans="1:3" ht="15" customHeight="1" x14ac:dyDescent="0.25">
      <c r="A119" s="94">
        <f>IF('Cash Flow Analysis'!C87="","",'Cash Flow Analysis'!C87)</f>
        <v>20</v>
      </c>
      <c r="B119" s="109">
        <f t="shared" ca="1" si="48"/>
        <v>14170691.970044987</v>
      </c>
      <c r="C119" s="119">
        <f t="shared" si="47"/>
        <v>0</v>
      </c>
    </row>
    <row r="120" spans="1:3" ht="15" customHeight="1" x14ac:dyDescent="0.25">
      <c r="A120" s="94">
        <f>IF('Cash Flow Analysis'!C88="","",'Cash Flow Analysis'!C88)</f>
        <v>21</v>
      </c>
      <c r="B120" s="109">
        <f t="shared" ca="1" si="48"/>
        <v>8020760.8502352564</v>
      </c>
      <c r="C120" s="119">
        <f t="shared" si="47"/>
        <v>0</v>
      </c>
    </row>
    <row r="121" spans="1:3" ht="15" customHeight="1" x14ac:dyDescent="0.25">
      <c r="A121" s="94">
        <f>IF('Cash Flow Analysis'!C89="","",'Cash Flow Analysis'!C89)</f>
        <v>22</v>
      </c>
      <c r="B121" s="109">
        <f t="shared" ca="1" si="48"/>
        <v>1836699.6833707935</v>
      </c>
      <c r="C121" s="119">
        <f t="shared" si="47"/>
        <v>0</v>
      </c>
    </row>
    <row r="122" spans="1:3" ht="15" customHeight="1" x14ac:dyDescent="0.25">
      <c r="A122" s="94">
        <f>IF('Cash Flow Analysis'!C90="","",'Cash Flow Analysis'!C90)</f>
        <v>23</v>
      </c>
      <c r="B122" s="109">
        <f t="shared" ca="1" si="48"/>
        <v>1871596.9773548387</v>
      </c>
      <c r="C122" s="119">
        <f t="shared" si="47"/>
        <v>0</v>
      </c>
    </row>
    <row r="123" spans="1:3" ht="15" customHeight="1" x14ac:dyDescent="0.25">
      <c r="A123" s="94">
        <f>IF('Cash Flow Analysis'!C91="","",'Cash Flow Analysis'!C91)</f>
        <v>24</v>
      </c>
      <c r="B123" s="109">
        <f t="shared" ca="1" si="48"/>
        <v>1907157.3199245809</v>
      </c>
      <c r="C123" s="119">
        <f t="shared" si="47"/>
        <v>0</v>
      </c>
    </row>
    <row r="124" spans="1:3" ht="15" customHeight="1" x14ac:dyDescent="0.25">
      <c r="A124" s="94">
        <f>IF('Cash Flow Analysis'!C92="","",'Cash Flow Analysis'!C92)</f>
        <v>25</v>
      </c>
      <c r="B124" s="109">
        <f t="shared" ca="1" si="48"/>
        <v>1943393.3090031478</v>
      </c>
      <c r="C124" s="119">
        <f t="shared" si="47"/>
        <v>0</v>
      </c>
    </row>
    <row r="125" spans="1:3" ht="15" customHeight="1" x14ac:dyDescent="0.25">
      <c r="A125" s="94">
        <f>IF('Cash Flow Analysis'!C93="","",'Cash Flow Analysis'!C93)</f>
        <v>26</v>
      </c>
      <c r="B125" s="109">
        <f t="shared" ca="1" si="48"/>
        <v>1980317.7818742073</v>
      </c>
      <c r="C125" s="119">
        <f t="shared" si="47"/>
        <v>0</v>
      </c>
    </row>
    <row r="126" spans="1:3" ht="15" customHeight="1" x14ac:dyDescent="0.25">
      <c r="A126" s="94">
        <f>IF('Cash Flow Analysis'!C94="","",'Cash Flow Analysis'!C94)</f>
        <v>27</v>
      </c>
      <c r="B126" s="109">
        <f t="shared" ca="1" si="48"/>
        <v>2017943.8197298171</v>
      </c>
      <c r="C126" s="119">
        <f t="shared" si="47"/>
        <v>0</v>
      </c>
    </row>
    <row r="127" spans="1:3" ht="15" customHeight="1" x14ac:dyDescent="0.25">
      <c r="A127" s="94">
        <f>IF('Cash Flow Analysis'!C95="","",'Cash Flow Analysis'!C95)</f>
        <v>28</v>
      </c>
      <c r="B127" s="109">
        <f t="shared" ca="1" si="48"/>
        <v>2056284.7523046834</v>
      </c>
      <c r="C127" s="119">
        <f t="shared" si="47"/>
        <v>0</v>
      </c>
    </row>
    <row r="128" spans="1:3" ht="15" customHeight="1" x14ac:dyDescent="0.25">
      <c r="A128" s="94">
        <f>IF('Cash Flow Analysis'!C96="","",'Cash Flow Analysis'!C96)</f>
        <v>29</v>
      </c>
      <c r="B128" s="109">
        <f t="shared" ca="1" si="48"/>
        <v>2095354.1625984726</v>
      </c>
      <c r="C128" s="119">
        <f t="shared" si="47"/>
        <v>0</v>
      </c>
    </row>
    <row r="129" spans="1:3" ht="15" customHeight="1" x14ac:dyDescent="0.25">
      <c r="A129" s="94">
        <f>IF('Cash Flow Analysis'!C97="","",'Cash Flow Analysis'!C97)</f>
        <v>30</v>
      </c>
      <c r="B129" s="109">
        <f t="shared" ca="1" si="48"/>
        <v>2135165.8916878435</v>
      </c>
      <c r="C129" s="119">
        <f t="shared" si="47"/>
        <v>0</v>
      </c>
    </row>
    <row r="130" spans="1:3" ht="15" customHeight="1" x14ac:dyDescent="0.25">
      <c r="A130" s="94">
        <f>IF('Cash Flow Analysis'!C98="","",'Cash Flow Analysis'!C98)</f>
        <v>31</v>
      </c>
      <c r="B130" s="109">
        <f t="shared" ca="1" si="48"/>
        <v>2175734.0436299122</v>
      </c>
      <c r="C130" s="119">
        <f t="shared" si="47"/>
        <v>0</v>
      </c>
    </row>
    <row r="131" spans="1:3" ht="15" customHeight="1" x14ac:dyDescent="0.25">
      <c r="A131" s="94">
        <f>IF('Cash Flow Analysis'!C99="","",'Cash Flow Analysis'!C99)</f>
        <v>32</v>
      </c>
      <c r="B131" s="109">
        <f t="shared" ca="1" si="48"/>
        <v>2217072.9904588806</v>
      </c>
      <c r="C131" s="119">
        <f t="shared" si="47"/>
        <v>0</v>
      </c>
    </row>
    <row r="132" spans="1:3" ht="15" customHeight="1" x14ac:dyDescent="0.25">
      <c r="A132" s="94">
        <f>IF('Cash Flow Analysis'!C100="","",'Cash Flow Analysis'!C100)</f>
        <v>33</v>
      </c>
      <c r="B132" s="109">
        <f t="shared" ca="1" si="48"/>
        <v>2259197.3772775996</v>
      </c>
      <c r="C132" s="119">
        <f t="shared" si="47"/>
        <v>0</v>
      </c>
    </row>
    <row r="133" spans="1:3" ht="15" customHeight="1" x14ac:dyDescent="0.25">
      <c r="A133" s="94">
        <f>IF('Cash Flow Analysis'!C101="","",'Cash Flow Analysis'!C101)</f>
        <v>34</v>
      </c>
      <c r="B133" s="109">
        <f t="shared" ca="1" si="48"/>
        <v>2302122.1274458733</v>
      </c>
      <c r="C133" s="119">
        <f t="shared" si="47"/>
        <v>0</v>
      </c>
    </row>
    <row r="134" spans="1:3" ht="15" customHeight="1" x14ac:dyDescent="0.25">
      <c r="A134" s="94">
        <f>IF('Cash Flow Analysis'!C102="","",'Cash Flow Analysis'!C102)</f>
        <v>35</v>
      </c>
      <c r="B134" s="109">
        <f t="shared" ca="1" si="48"/>
        <v>2345862.4478673451</v>
      </c>
      <c r="C134" s="119">
        <f t="shared" si="47"/>
        <v>0</v>
      </c>
    </row>
    <row r="135" spans="1:3" ht="15" customHeight="1" x14ac:dyDescent="0.25">
      <c r="A135" s="94">
        <f>IF('Cash Flow Analysis'!C103="","",'Cash Flow Analysis'!C103)</f>
        <v>36</v>
      </c>
      <c r="B135" s="109">
        <f t="shared" ca="1" si="48"/>
        <v>2390433.8343768241</v>
      </c>
      <c r="C135" s="119">
        <f t="shared" si="47"/>
        <v>0</v>
      </c>
    </row>
    <row r="136" spans="1:3" ht="15" customHeight="1" x14ac:dyDescent="0.25">
      <c r="A136" s="94">
        <f>IF('Cash Flow Analysis'!C104="","",'Cash Flow Analysis'!C104)</f>
        <v>37</v>
      </c>
      <c r="B136" s="109">
        <f t="shared" ca="1" si="48"/>
        <v>2435852.0772299836</v>
      </c>
      <c r="C136" s="119">
        <f t="shared" si="47"/>
        <v>0</v>
      </c>
    </row>
    <row r="137" spans="1:3" ht="15" customHeight="1" x14ac:dyDescent="0.25">
      <c r="A137" s="94">
        <f>IF('Cash Flow Analysis'!C105="","",'Cash Flow Analysis'!C105)</f>
        <v>38</v>
      </c>
      <c r="B137" s="109">
        <f t="shared" ca="1" si="48"/>
        <v>2482133.2666973537</v>
      </c>
      <c r="C137" s="119">
        <f t="shared" si="47"/>
        <v>0</v>
      </c>
    </row>
    <row r="138" spans="1:3" ht="15" customHeight="1" x14ac:dyDescent="0.25">
      <c r="A138" s="94">
        <f>IF('Cash Flow Analysis'!C106="","",'Cash Flow Analysis'!C106)</f>
        <v>39</v>
      </c>
      <c r="B138" s="109">
        <f t="shared" ca="1" si="48"/>
        <v>2529293.7987646032</v>
      </c>
      <c r="C138" s="119">
        <f t="shared" si="47"/>
        <v>0</v>
      </c>
    </row>
    <row r="139" spans="1:3" ht="15" customHeight="1" x14ac:dyDescent="0.25">
      <c r="A139" s="94">
        <f>IF('Cash Flow Analysis'!C107="","",'Cash Flow Analysis'!C107)</f>
        <v>40</v>
      </c>
      <c r="B139" s="109">
        <f t="shared" ca="1" si="48"/>
        <v>2577350.3809411307</v>
      </c>
      <c r="C139" s="119">
        <f t="shared" si="47"/>
        <v>0</v>
      </c>
    </row>
    <row r="140" spans="1:3" ht="15" customHeight="1" thickBot="1" x14ac:dyDescent="0.3">
      <c r="A140" s="120" t="str">
        <f>IF('Cash Flow Analysis'!C108="","",'Cash Flow Analysis'!C108)</f>
        <v/>
      </c>
      <c r="B140" s="121">
        <f t="shared" ca="1" si="48"/>
        <v>2510022.5536073414</v>
      </c>
      <c r="C140" s="122">
        <f t="shared" ca="1" si="47"/>
        <v>2510022.5536073414</v>
      </c>
    </row>
    <row r="141" spans="1:3" ht="15" customHeight="1" thickTop="1" thickBot="1" x14ac:dyDescent="0.35">
      <c r="A141" s="123" t="s">
        <v>62</v>
      </c>
      <c r="B141" s="124">
        <f ca="1">SUM(B97:B140)</f>
        <v>342579452.28283399</v>
      </c>
      <c r="C141" s="125">
        <f ca="1">SUM(C97:C140)</f>
        <v>2510022.5536073414</v>
      </c>
    </row>
    <row r="142" spans="1:3" ht="15" customHeight="1" thickTop="1" x14ac:dyDescent="0.3">
      <c r="A142" s="126"/>
      <c r="B142" s="127"/>
      <c r="C142" s="128"/>
    </row>
    <row r="143" spans="1:3" ht="15" customHeight="1" thickBot="1" x14ac:dyDescent="0.3">
      <c r="A143" s="38" t="str">
        <f>IF('Cash Flow Analysis'!C109="","",'Cash Flow Analysis'!C109)</f>
        <v/>
      </c>
      <c r="B143" s="115"/>
    </row>
    <row r="144" spans="1:3" ht="31.5" customHeight="1" thickTop="1" x14ac:dyDescent="0.35">
      <c r="A144" s="1713" t="s">
        <v>63</v>
      </c>
      <c r="B144" s="1714"/>
    </row>
    <row r="145" spans="1:2" ht="16.5" customHeight="1" thickBot="1" x14ac:dyDescent="0.35">
      <c r="A145" s="129" t="s">
        <v>64</v>
      </c>
      <c r="B145" s="130" t="s">
        <v>60</v>
      </c>
    </row>
    <row r="146" spans="1:2" ht="15" customHeight="1" thickTop="1" x14ac:dyDescent="0.25">
      <c r="A146" s="131">
        <v>1</v>
      </c>
      <c r="B146" s="105">
        <f ca="1">SUM(D92,E91,F90,G89,H88,I87,J86,K85,L84,M83,N82,O81,P80,Q79,R78,S77,T76,U75,V74,W73)</f>
        <v>2333832.5711597772</v>
      </c>
    </row>
    <row r="147" spans="1:2" ht="15" customHeight="1" x14ac:dyDescent="0.25">
      <c r="A147" s="94">
        <v>2</v>
      </c>
      <c r="B147" s="110">
        <f ca="1">SUM(E92,F91,G90,H89,I88,J87,K86,L85,M84,N83,O82,P81,Q80,R79,S78,T77,U76,V75,W74)</f>
        <v>2171103.8421491343</v>
      </c>
    </row>
    <row r="148" spans="1:2" ht="15" customHeight="1" x14ac:dyDescent="0.25">
      <c r="A148" s="94">
        <v>3</v>
      </c>
      <c r="B148" s="110">
        <f ca="1">SUM(F92,G91,H90,I89,J88,K87,L86,M85,N84,O83,P82,Q81,R80,S79,T78,U77,V76,W75)</f>
        <v>2020789.5985635123</v>
      </c>
    </row>
    <row r="149" spans="1:2" ht="15" customHeight="1" x14ac:dyDescent="0.25">
      <c r="A149" s="94">
        <v>4</v>
      </c>
      <c r="B149" s="110">
        <f ca="1">SUM(G92,H91,I90,J89,K88,L87,M86,N85,O84,P83,Q82,R81,S80,T79,U78,V77,W76)</f>
        <v>1882009.2597740977</v>
      </c>
    </row>
    <row r="150" spans="1:2" ht="15" customHeight="1" x14ac:dyDescent="0.25">
      <c r="A150" s="94">
        <v>5</v>
      </c>
      <c r="B150" s="110">
        <f ca="1">SUM(H92,I91,J90,K89,L88,M87,N86,O85,P84,Q83,R82,S81,T80,U79,V78,W77)</f>
        <v>1753865.5141201313</v>
      </c>
    </row>
    <row r="151" spans="1:2" ht="15" customHeight="1" x14ac:dyDescent="0.25">
      <c r="A151" s="94">
        <v>6</v>
      </c>
      <c r="B151" s="110">
        <f ca="1">SUM(I92,J91,K90,L89,M88,N87,O86,P85,Q84,R83,S82,T81,U80,V79,W78)</f>
        <v>1635599.0643320605</v>
      </c>
    </row>
    <row r="152" spans="1:2" ht="15" customHeight="1" x14ac:dyDescent="0.25">
      <c r="A152" s="94">
        <v>7</v>
      </c>
      <c r="B152" s="110">
        <f ca="1">SUM(J92,K91,L90,M89,N88,O87,P86,Q85,R84,S83,T82,U81,V80,W79)</f>
        <v>1526436.1864922112</v>
      </c>
    </row>
    <row r="153" spans="1:2" ht="15" customHeight="1" x14ac:dyDescent="0.25">
      <c r="A153" s="94">
        <v>8</v>
      </c>
      <c r="B153" s="110">
        <f ca="1">SUM(K92,L91,M90,N89,O88,P87,Q86,R85,S84,T83,U82,V81,W80)</f>
        <v>1417059.9737265515</v>
      </c>
    </row>
    <row r="154" spans="1:2" ht="15" customHeight="1" x14ac:dyDescent="0.25">
      <c r="A154" s="94">
        <v>9</v>
      </c>
      <c r="B154" s="110">
        <f ca="1">SUM(L92,M91,N90,O89,P88,Q87,R86,S85,T84,U83,V82,W81)</f>
        <v>1305636.6255808966</v>
      </c>
    </row>
    <row r="155" spans="1:2" ht="15" customHeight="1" x14ac:dyDescent="0.25">
      <c r="A155" s="94">
        <v>10</v>
      </c>
      <c r="B155" s="110">
        <f ca="1">SUM(M92,N91,O90,P89,Q88,R87,S86,T85,U84,V83,W82)</f>
        <v>1192065.2211579219</v>
      </c>
    </row>
    <row r="156" spans="1:2" ht="15" customHeight="1" x14ac:dyDescent="0.25">
      <c r="A156" s="94">
        <v>11</v>
      </c>
      <c r="B156" s="110">
        <f ca="1">SUM(N92,O91,P90,Q89,R88,S87,T86,U85,V84,W83)</f>
        <v>1076366.9727134632</v>
      </c>
    </row>
    <row r="157" spans="1:2" ht="15" customHeight="1" x14ac:dyDescent="0.25">
      <c r="A157" s="94">
        <v>12</v>
      </c>
      <c r="B157" s="110">
        <f ca="1">SUM(O92,P91,Q90,R89,S88,T87,U86,V85,W84)</f>
        <v>958439.44488600746</v>
      </c>
    </row>
    <row r="158" spans="1:2" ht="15" customHeight="1" x14ac:dyDescent="0.25">
      <c r="A158" s="94">
        <v>13</v>
      </c>
      <c r="B158" s="110">
        <f ca="1">SUM(P92,Q91,R90,S89,T88,U87,V86,W85)</f>
        <v>838302.30669238232</v>
      </c>
    </row>
    <row r="159" spans="1:2" ht="15" customHeight="1" x14ac:dyDescent="0.25">
      <c r="A159" s="94">
        <v>14</v>
      </c>
      <c r="B159" s="110">
        <f ca="1">SUM(Q92,R91,S90,T89,U88,V87,W86)</f>
        <v>715851.55021052586</v>
      </c>
    </row>
    <row r="160" spans="1:2" ht="15" customHeight="1" x14ac:dyDescent="0.25">
      <c r="A160" s="94">
        <v>15</v>
      </c>
      <c r="B160" s="110">
        <f ca="1">SUM(R92,S91,T90,U89,V88,W87)</f>
        <v>591105.2420180667</v>
      </c>
    </row>
    <row r="161" spans="1:2" ht="15" customHeight="1" x14ac:dyDescent="0.25">
      <c r="A161" s="94">
        <v>16</v>
      </c>
      <c r="B161" s="110">
        <f ca="1">SUM(S92,T91,U90,V89,W88)</f>
        <v>463957.7413073983</v>
      </c>
    </row>
    <row r="162" spans="1:2" ht="15" customHeight="1" x14ac:dyDescent="0.25">
      <c r="A162" s="94">
        <v>17</v>
      </c>
      <c r="B162" s="110">
        <f ca="1">SUM(T92,U91,V90,W89)</f>
        <v>334425.45074577956</v>
      </c>
    </row>
    <row r="163" spans="1:2" ht="15" customHeight="1" x14ac:dyDescent="0.25">
      <c r="A163" s="94">
        <v>18</v>
      </c>
      <c r="B163" s="110">
        <f ca="1">SUM(U92,V91,W90)</f>
        <v>202401.03400093777</v>
      </c>
    </row>
    <row r="164" spans="1:2" ht="15" customHeight="1" x14ac:dyDescent="0.25">
      <c r="A164" s="94">
        <v>19</v>
      </c>
      <c r="B164" s="110">
        <f ca="1">SUM(V92,W91)</f>
        <v>67899.166000496392</v>
      </c>
    </row>
    <row r="165" spans="1:2" ht="15" customHeight="1" thickBot="1" x14ac:dyDescent="0.3">
      <c r="A165" s="96">
        <v>20</v>
      </c>
      <c r="B165" s="97">
        <f>SUM(W92)</f>
        <v>0</v>
      </c>
    </row>
    <row r="166" spans="1:2" ht="14" thickTop="1" thickBot="1" x14ac:dyDescent="0.35">
      <c r="A166" s="123" t="s">
        <v>62</v>
      </c>
      <c r="B166" s="132">
        <f ca="1">SUM(B146:B165)</f>
        <v>22487146.765631352</v>
      </c>
    </row>
    <row r="167" spans="1:2" ht="13"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5" x14ac:dyDescent="0.25"/>
  <cols>
    <col min="1" max="1" width="33" customWidth="1"/>
    <col min="2" max="2" width="10" customWidth="1"/>
    <col min="3" max="3" width="14" customWidth="1"/>
    <col min="4" max="4" width="11.1796875" customWidth="1"/>
    <col min="5" max="5" width="60.81640625" customWidth="1"/>
    <col min="7" max="8" width="14" customWidth="1"/>
    <col min="11" max="11" width="14.1796875" customWidth="1"/>
    <col min="12" max="12" width="18.26953125" customWidth="1"/>
    <col min="15" max="15" width="12.453125" bestFit="1" customWidth="1"/>
    <col min="16" max="16" width="14.26953125" customWidth="1"/>
  </cols>
  <sheetData>
    <row r="1" spans="1:5" s="2" customFormat="1" ht="14" x14ac:dyDescent="0.3">
      <c r="A1" s="2" t="s">
        <v>284</v>
      </c>
      <c r="B1" s="2" t="s">
        <v>285</v>
      </c>
      <c r="C1" s="2" t="s">
        <v>286</v>
      </c>
    </row>
    <row r="2" spans="1:5" ht="14" x14ac:dyDescent="0.3">
      <c r="A2" s="2" t="s">
        <v>287</v>
      </c>
    </row>
    <row r="3" spans="1:5" x14ac:dyDescent="0.25">
      <c r="A3" t="s">
        <v>288</v>
      </c>
      <c r="B3" t="s">
        <v>289</v>
      </c>
      <c r="C3">
        <v>1.6093</v>
      </c>
      <c r="D3" t="s">
        <v>642</v>
      </c>
    </row>
    <row r="4" spans="1:5" x14ac:dyDescent="0.25">
      <c r="A4" t="s">
        <v>290</v>
      </c>
      <c r="B4" t="s">
        <v>291</v>
      </c>
      <c r="C4">
        <v>3.7850000000000001</v>
      </c>
      <c r="D4" t="s">
        <v>643</v>
      </c>
    </row>
    <row r="5" spans="1:5" x14ac:dyDescent="0.25">
      <c r="A5" t="s">
        <v>292</v>
      </c>
      <c r="B5" t="s">
        <v>293</v>
      </c>
      <c r="C5">
        <v>1.8263969224024776E-2</v>
      </c>
      <c r="D5" t="s">
        <v>644</v>
      </c>
    </row>
    <row r="6" spans="1:5" x14ac:dyDescent="0.25">
      <c r="A6" t="s">
        <v>850</v>
      </c>
      <c r="B6" t="s">
        <v>1008</v>
      </c>
      <c r="C6">
        <v>2.6852999999999998E-2</v>
      </c>
      <c r="D6" t="s">
        <v>645</v>
      </c>
      <c r="E6" t="s">
        <v>709</v>
      </c>
    </row>
    <row r="7" spans="1:5" x14ac:dyDescent="0.25">
      <c r="A7" t="s">
        <v>858</v>
      </c>
      <c r="B7" t="s">
        <v>268</v>
      </c>
      <c r="C7">
        <f>1/2.205</f>
        <v>0.45351473922902491</v>
      </c>
      <c r="D7" t="s">
        <v>646</v>
      </c>
    </row>
    <row r="8" spans="1:5" x14ac:dyDescent="0.25">
      <c r="A8" t="s">
        <v>915</v>
      </c>
      <c r="B8" t="s">
        <v>1008</v>
      </c>
      <c r="C8">
        <v>2.8316999999999998E-2</v>
      </c>
      <c r="D8" t="s">
        <v>647</v>
      </c>
      <c r="E8" t="s">
        <v>710</v>
      </c>
    </row>
    <row r="9" spans="1:5" x14ac:dyDescent="0.25">
      <c r="A9" t="s">
        <v>377</v>
      </c>
      <c r="B9" t="s">
        <v>415</v>
      </c>
      <c r="C9">
        <v>145.03800000000001</v>
      </c>
      <c r="D9" t="s">
        <v>551</v>
      </c>
    </row>
    <row r="11" spans="1:5" ht="14" x14ac:dyDescent="0.3">
      <c r="A11" s="2" t="s">
        <v>294</v>
      </c>
    </row>
    <row r="12" spans="1:5" x14ac:dyDescent="0.25">
      <c r="A12" t="s">
        <v>295</v>
      </c>
      <c r="B12" t="s">
        <v>296</v>
      </c>
      <c r="C12">
        <v>0.27777777777777779</v>
      </c>
    </row>
    <row r="13" spans="1:5" x14ac:dyDescent="0.25">
      <c r="A13" t="s">
        <v>297</v>
      </c>
      <c r="B13" t="s">
        <v>296</v>
      </c>
      <c r="C13">
        <v>34.022625288888882</v>
      </c>
    </row>
    <row r="14" spans="1:5" x14ac:dyDescent="0.25">
      <c r="A14" t="s">
        <v>298</v>
      </c>
      <c r="B14" t="s">
        <v>299</v>
      </c>
      <c r="C14">
        <v>0.97933196399532141</v>
      </c>
    </row>
    <row r="15" spans="1:5" x14ac:dyDescent="0.25">
      <c r="A15" t="s">
        <v>298</v>
      </c>
      <c r="B15" t="s">
        <v>296</v>
      </c>
      <c r="C15">
        <f>kgH2_to_GJ*MJ_to_kWh*1000</f>
        <v>33.392121748655818</v>
      </c>
    </row>
    <row r="16" spans="1:5" x14ac:dyDescent="0.25">
      <c r="A16" t="s">
        <v>298</v>
      </c>
      <c r="B16" t="s">
        <v>1074</v>
      </c>
      <c r="C16">
        <f>H2_LHV_MJ_p_kg/1000</f>
        <v>0.12021163829516093</v>
      </c>
    </row>
    <row r="17" spans="1:3" x14ac:dyDescent="0.25">
      <c r="A17" t="s">
        <v>300</v>
      </c>
      <c r="B17" t="s">
        <v>296</v>
      </c>
      <c r="C17">
        <v>2.9308323563892143E-4</v>
      </c>
    </row>
    <row r="18" spans="1:3" x14ac:dyDescent="0.25">
      <c r="A18" t="s">
        <v>1073</v>
      </c>
      <c r="B18" t="s">
        <v>1074</v>
      </c>
      <c r="C18">
        <v>1.0549999999999999</v>
      </c>
    </row>
    <row r="21" spans="1:3" ht="14" x14ac:dyDescent="0.3">
      <c r="A21" s="2" t="s">
        <v>537</v>
      </c>
      <c r="C21" s="463" t="s">
        <v>840</v>
      </c>
    </row>
    <row r="22" spans="1:3" x14ac:dyDescent="0.25">
      <c r="A22" t="s">
        <v>403</v>
      </c>
      <c r="B22">
        <v>1</v>
      </c>
    </row>
    <row r="23" spans="1:3" x14ac:dyDescent="0.25">
      <c r="A23" t="s">
        <v>404</v>
      </c>
      <c r="B23">
        <v>25</v>
      </c>
    </row>
    <row r="24" spans="1:3" x14ac:dyDescent="0.25">
      <c r="A24" t="s">
        <v>405</v>
      </c>
      <c r="B24">
        <v>298</v>
      </c>
    </row>
    <row r="27" spans="1:3" ht="14" x14ac:dyDescent="0.3">
      <c r="A27" s="2" t="s">
        <v>704</v>
      </c>
    </row>
    <row r="28" spans="1:3" x14ac:dyDescent="0.25">
      <c r="A28" t="s">
        <v>705</v>
      </c>
      <c r="B28" t="s">
        <v>706</v>
      </c>
    </row>
    <row r="29" spans="1:3" x14ac:dyDescent="0.25">
      <c r="A29" t="s">
        <v>864</v>
      </c>
      <c r="B29">
        <f>mmBTU_to_GJ</f>
        <v>1.0549999999999999</v>
      </c>
    </row>
    <row r="30" spans="1:3" x14ac:dyDescent="0.25">
      <c r="A30" t="s">
        <v>296</v>
      </c>
      <c r="B30">
        <f>1/MJ_to_kWh/1000</f>
        <v>3.5999999999999995E-3</v>
      </c>
    </row>
    <row r="31" spans="1:3" x14ac:dyDescent="0.25">
      <c r="A31" t="s">
        <v>1074</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F1" workbookViewId="0">
      <selection activeCell="P4" sqref="P4:P20"/>
    </sheetView>
  </sheetViews>
  <sheetFormatPr defaultRowHeight="12.5" x14ac:dyDescent="0.25"/>
  <cols>
    <col min="1" max="1" width="17" customWidth="1"/>
    <col min="3" max="3" width="13.7265625" customWidth="1"/>
    <col min="5" max="5" width="16" customWidth="1"/>
    <col min="7" max="7" width="56.453125" customWidth="1"/>
    <col min="8" max="8" width="18.81640625" customWidth="1"/>
    <col min="10" max="10" width="22.26953125" customWidth="1"/>
    <col min="11" max="11" width="33.81640625" customWidth="1"/>
    <col min="13" max="13" width="21" customWidth="1"/>
    <col min="15" max="15" width="20.7265625" customWidth="1"/>
    <col min="16" max="16" width="17.1796875" customWidth="1"/>
    <col min="18" max="18" width="21" customWidth="1"/>
    <col min="20" max="20" width="14.54296875" customWidth="1"/>
    <col min="22" max="22" width="18.54296875" customWidth="1"/>
    <col min="25" max="25" width="22.54296875" customWidth="1"/>
    <col min="26" max="26" width="15.1796875" customWidth="1"/>
    <col min="28" max="28" width="18.7265625" customWidth="1"/>
    <col min="29" max="29" width="18.54296875" customWidth="1"/>
  </cols>
  <sheetData>
    <row r="1" spans="1:29" ht="13" x14ac:dyDescent="0.3">
      <c r="A1" s="1" t="s">
        <v>1091</v>
      </c>
    </row>
    <row r="2" spans="1:29" ht="13" x14ac:dyDescent="0.3">
      <c r="J2" s="1" t="s">
        <v>814</v>
      </c>
    </row>
    <row r="3" spans="1:29" ht="13" x14ac:dyDescent="0.3">
      <c r="A3" s="1" t="s">
        <v>1005</v>
      </c>
      <c r="C3" s="1" t="s">
        <v>22</v>
      </c>
      <c r="E3" s="1" t="s">
        <v>166</v>
      </c>
      <c r="G3" s="1" t="s">
        <v>11</v>
      </c>
      <c r="J3" s="977" t="s">
        <v>1117</v>
      </c>
      <c r="M3" s="1" t="s">
        <v>75</v>
      </c>
      <c r="O3" s="1" t="s">
        <v>439</v>
      </c>
      <c r="R3" s="1" t="s">
        <v>666</v>
      </c>
      <c r="T3" s="1" t="s">
        <v>434</v>
      </c>
      <c r="V3" s="1" t="s">
        <v>436</v>
      </c>
      <c r="Y3" s="1" t="s">
        <v>346</v>
      </c>
      <c r="AB3" s="1" t="s">
        <v>1066</v>
      </c>
    </row>
    <row r="4" spans="1:29" ht="13" x14ac:dyDescent="0.3">
      <c r="A4" t="s">
        <v>1006</v>
      </c>
      <c r="C4" t="s">
        <v>23</v>
      </c>
      <c r="E4" s="1">
        <v>100000</v>
      </c>
      <c r="G4" t="s">
        <v>324</v>
      </c>
      <c r="H4" t="s">
        <v>8</v>
      </c>
      <c r="J4" s="977" t="s">
        <v>1105</v>
      </c>
      <c r="M4" t="s">
        <v>1042</v>
      </c>
      <c r="O4" t="str">
        <f>M7</f>
        <v>ref_year</v>
      </c>
      <c r="P4">
        <v>2016</v>
      </c>
      <c r="R4" s="463" t="s">
        <v>1042</v>
      </c>
      <c r="T4">
        <v>1</v>
      </c>
      <c r="U4" t="s">
        <v>435</v>
      </c>
      <c r="V4" t="s">
        <v>417</v>
      </c>
      <c r="W4">
        <v>1.1000000000000001</v>
      </c>
      <c r="Y4" t="s">
        <v>339</v>
      </c>
      <c r="Z4">
        <v>0.9</v>
      </c>
      <c r="AB4" t="s">
        <v>27</v>
      </c>
      <c r="AC4" s="463" t="s">
        <v>825</v>
      </c>
    </row>
    <row r="5" spans="1:29" x14ac:dyDescent="0.25">
      <c r="A5" t="s">
        <v>1007</v>
      </c>
      <c r="C5" t="s">
        <v>282</v>
      </c>
      <c r="G5" t="s">
        <v>335</v>
      </c>
      <c r="H5" t="s">
        <v>26</v>
      </c>
      <c r="J5" s="977" t="s">
        <v>1106</v>
      </c>
      <c r="M5" t="s">
        <v>8</v>
      </c>
      <c r="O5" t="str">
        <f>M18</f>
        <v>depr_type</v>
      </c>
      <c r="P5" t="s">
        <v>438</v>
      </c>
      <c r="R5" s="463" t="s">
        <v>936</v>
      </c>
      <c r="T5">
        <v>1.2</v>
      </c>
      <c r="U5" t="s">
        <v>424</v>
      </c>
      <c r="V5" t="s">
        <v>418</v>
      </c>
      <c r="W5">
        <v>1</v>
      </c>
      <c r="Y5" t="s">
        <v>340</v>
      </c>
      <c r="Z5">
        <v>0.04</v>
      </c>
      <c r="AB5" t="s">
        <v>179</v>
      </c>
      <c r="AC5" s="463" t="s">
        <v>825</v>
      </c>
    </row>
    <row r="6" spans="1:29" x14ac:dyDescent="0.25">
      <c r="G6" t="s">
        <v>373</v>
      </c>
      <c r="H6" t="s">
        <v>182</v>
      </c>
      <c r="J6" s="977" t="s">
        <v>1107</v>
      </c>
      <c r="M6" t="s">
        <v>26</v>
      </c>
      <c r="O6" t="str">
        <f>M19</f>
        <v>equity</v>
      </c>
      <c r="P6" s="1512">
        <v>0.4</v>
      </c>
      <c r="R6" s="463" t="s">
        <v>937</v>
      </c>
      <c r="V6" t="s">
        <v>419</v>
      </c>
      <c r="W6">
        <v>1.05</v>
      </c>
      <c r="Y6" t="s">
        <v>550</v>
      </c>
      <c r="Z6">
        <v>14.7</v>
      </c>
      <c r="AB6" t="s">
        <v>171</v>
      </c>
      <c r="AC6" s="463" t="s">
        <v>825</v>
      </c>
    </row>
    <row r="7" spans="1:29" ht="13" x14ac:dyDescent="0.3">
      <c r="A7" s="1" t="s">
        <v>270</v>
      </c>
      <c r="C7" s="1" t="s">
        <v>1057</v>
      </c>
      <c r="G7" t="s">
        <v>374</v>
      </c>
      <c r="H7" t="s">
        <v>10</v>
      </c>
      <c r="J7" s="1397" t="s">
        <v>1290</v>
      </c>
      <c r="M7" t="s">
        <v>1025</v>
      </c>
      <c r="O7" t="str">
        <f t="shared" ref="O7:O13" si="0">M25</f>
        <v>decom_percent</v>
      </c>
      <c r="P7">
        <v>0.1</v>
      </c>
      <c r="R7" s="463" t="s">
        <v>938</v>
      </c>
      <c r="V7" t="s">
        <v>420</v>
      </c>
      <c r="W7">
        <v>1.1000000000000001</v>
      </c>
      <c r="Y7" t="s">
        <v>962</v>
      </c>
      <c r="Z7">
        <v>0</v>
      </c>
      <c r="AB7" t="s">
        <v>173</v>
      </c>
      <c r="AC7" s="463" t="s">
        <v>825</v>
      </c>
    </row>
    <row r="8" spans="1:29" x14ac:dyDescent="0.25">
      <c r="A8" t="s">
        <v>248</v>
      </c>
      <c r="C8" t="s">
        <v>1052</v>
      </c>
      <c r="G8" t="s">
        <v>378</v>
      </c>
      <c r="H8" t="s">
        <v>181</v>
      </c>
      <c r="M8" t="s">
        <v>182</v>
      </c>
      <c r="O8" t="str">
        <f t="shared" si="0"/>
        <v>salvage_perct</v>
      </c>
      <c r="P8">
        <v>0.1</v>
      </c>
      <c r="R8" s="463" t="s">
        <v>939</v>
      </c>
      <c r="V8" t="s">
        <v>422</v>
      </c>
      <c r="W8">
        <v>1.1000000000000001</v>
      </c>
      <c r="Y8" s="305" t="s">
        <v>1270</v>
      </c>
      <c r="Z8" s="305">
        <v>1</v>
      </c>
      <c r="AB8" t="s">
        <v>29</v>
      </c>
      <c r="AC8" s="463" t="s">
        <v>825</v>
      </c>
    </row>
    <row r="9" spans="1:29" x14ac:dyDescent="0.25">
      <c r="A9" t="s">
        <v>271</v>
      </c>
      <c r="C9" t="s">
        <v>271</v>
      </c>
      <c r="G9" t="s">
        <v>379</v>
      </c>
      <c r="H9" t="s">
        <v>170</v>
      </c>
      <c r="M9" t="s">
        <v>10</v>
      </c>
      <c r="O9" t="str">
        <f t="shared" si="0"/>
        <v>inflation_rate</v>
      </c>
      <c r="P9">
        <v>1.9E-2</v>
      </c>
      <c r="R9" s="463" t="s">
        <v>940</v>
      </c>
      <c r="V9" t="s">
        <v>421</v>
      </c>
      <c r="W9">
        <v>1.3</v>
      </c>
      <c r="Y9" s="305" t="s">
        <v>345</v>
      </c>
      <c r="Z9" s="305">
        <v>100</v>
      </c>
      <c r="AB9" t="s">
        <v>159</v>
      </c>
      <c r="AC9" s="463" t="s">
        <v>825</v>
      </c>
    </row>
    <row r="10" spans="1:29" x14ac:dyDescent="0.25">
      <c r="A10" t="s">
        <v>272</v>
      </c>
      <c r="C10" t="s">
        <v>1058</v>
      </c>
      <c r="G10" t="s">
        <v>325</v>
      </c>
      <c r="H10" t="s">
        <v>18</v>
      </c>
      <c r="M10" t="s">
        <v>161</v>
      </c>
      <c r="O10" t="str">
        <f t="shared" si="0"/>
        <v>real_irr</v>
      </c>
      <c r="P10" s="1512">
        <v>0.08</v>
      </c>
      <c r="R10" s="463" t="s">
        <v>941</v>
      </c>
      <c r="V10" t="s">
        <v>423</v>
      </c>
      <c r="W10">
        <v>1.5</v>
      </c>
      <c r="Y10" s="305" t="s">
        <v>1252</v>
      </c>
      <c r="Z10" s="305">
        <v>0.75</v>
      </c>
      <c r="AB10" t="s">
        <v>169</v>
      </c>
      <c r="AC10" s="463" t="s">
        <v>825</v>
      </c>
    </row>
    <row r="11" spans="1:29" ht="13" x14ac:dyDescent="0.3">
      <c r="C11" t="s">
        <v>1071</v>
      </c>
      <c r="G11" t="s">
        <v>326</v>
      </c>
      <c r="H11" t="s">
        <v>178</v>
      </c>
      <c r="J11" s="1" t="s">
        <v>693</v>
      </c>
      <c r="K11" s="1" t="s">
        <v>694</v>
      </c>
      <c r="M11" t="s">
        <v>162</v>
      </c>
      <c r="O11" t="str">
        <f t="shared" si="0"/>
        <v>state_tax_rate</v>
      </c>
      <c r="P11">
        <v>0.06</v>
      </c>
      <c r="R11" s="463" t="s">
        <v>942</v>
      </c>
      <c r="Y11" s="305" t="s">
        <v>1253</v>
      </c>
      <c r="Z11" s="1337" t="s">
        <v>23</v>
      </c>
      <c r="AB11" t="s">
        <v>1093</v>
      </c>
      <c r="AC11" t="s">
        <v>839</v>
      </c>
    </row>
    <row r="12" spans="1:29" x14ac:dyDescent="0.25">
      <c r="C12" t="s">
        <v>272</v>
      </c>
      <c r="G12" t="s">
        <v>327</v>
      </c>
      <c r="H12" t="s">
        <v>30</v>
      </c>
      <c r="J12" s="891" t="str">
        <f>TMP_PriceTable</f>
        <v>AEO_2017_Reference_Case</v>
      </c>
      <c r="K12" t="str">
        <f>J12&amp;"_Feeds"</f>
        <v>AEO_2017_Reference_Case_Feeds</v>
      </c>
      <c r="M12" t="s">
        <v>163</v>
      </c>
      <c r="O12" t="str">
        <f t="shared" si="0"/>
        <v>fed_tax_rate</v>
      </c>
      <c r="P12" s="1512">
        <v>0.21</v>
      </c>
      <c r="R12" s="463" t="s">
        <v>943</v>
      </c>
      <c r="Y12" s="305" t="s">
        <v>1254</v>
      </c>
      <c r="Z12" s="1337" t="s">
        <v>23</v>
      </c>
      <c r="AB12" t="s">
        <v>1094</v>
      </c>
      <c r="AC12" t="s">
        <v>1062</v>
      </c>
    </row>
    <row r="13" spans="1:29" ht="13" x14ac:dyDescent="0.3">
      <c r="G13" t="s">
        <v>328</v>
      </c>
      <c r="H13" t="s">
        <v>174</v>
      </c>
      <c r="K13" s="1" t="s">
        <v>695</v>
      </c>
      <c r="M13" t="s">
        <v>164</v>
      </c>
      <c r="O13" t="str">
        <f t="shared" si="0"/>
        <v>WorkingCap</v>
      </c>
      <c r="P13">
        <v>0.15</v>
      </c>
      <c r="R13" s="463" t="s">
        <v>944</v>
      </c>
      <c r="Y13" s="305" t="s">
        <v>1255</v>
      </c>
      <c r="Z13" s="305">
        <v>0</v>
      </c>
      <c r="AB13" t="s">
        <v>1022</v>
      </c>
      <c r="AC13">
        <v>0.25</v>
      </c>
    </row>
    <row r="14" spans="1:29" ht="13" x14ac:dyDescent="0.3">
      <c r="A14" s="1" t="s">
        <v>16</v>
      </c>
      <c r="C14" s="1" t="s">
        <v>199</v>
      </c>
      <c r="G14" t="s">
        <v>329</v>
      </c>
      <c r="H14" t="s">
        <v>184</v>
      </c>
      <c r="K14" t="str">
        <f>J12&amp;"_Years"</f>
        <v>AEO_2017_Reference_Case_Years</v>
      </c>
      <c r="M14" t="s">
        <v>181</v>
      </c>
      <c r="O14" t="s">
        <v>160</v>
      </c>
      <c r="P14">
        <v>0.2</v>
      </c>
      <c r="R14" t="s">
        <v>8</v>
      </c>
      <c r="Y14" s="305" t="s">
        <v>1256</v>
      </c>
      <c r="Z14" s="305">
        <v>53</v>
      </c>
      <c r="AB14" t="s">
        <v>1023</v>
      </c>
      <c r="AC14" t="s">
        <v>839</v>
      </c>
    </row>
    <row r="15" spans="1:29" x14ac:dyDescent="0.25">
      <c r="A15" t="s">
        <v>191</v>
      </c>
      <c r="C15" s="779" t="s">
        <v>200</v>
      </c>
      <c r="G15" t="s">
        <v>330</v>
      </c>
      <c r="H15" t="s">
        <v>28</v>
      </c>
      <c r="M15" t="s">
        <v>170</v>
      </c>
      <c r="O15" t="s">
        <v>186</v>
      </c>
      <c r="P15">
        <v>0.02</v>
      </c>
      <c r="R15" t="s">
        <v>26</v>
      </c>
      <c r="Y15" s="1333"/>
      <c r="Z15" s="1333"/>
      <c r="AB15" t="s">
        <v>31</v>
      </c>
      <c r="AC15" t="s">
        <v>1062</v>
      </c>
    </row>
    <row r="16" spans="1:29" ht="14" x14ac:dyDescent="0.25">
      <c r="A16" t="s">
        <v>192</v>
      </c>
      <c r="C16" s="780" t="s">
        <v>201</v>
      </c>
      <c r="G16" t="s">
        <v>331</v>
      </c>
      <c r="H16" t="s">
        <v>189</v>
      </c>
      <c r="M16" t="s">
        <v>7</v>
      </c>
      <c r="O16" t="s">
        <v>177</v>
      </c>
      <c r="P16">
        <v>0</v>
      </c>
      <c r="R16" t="s">
        <v>1025</v>
      </c>
      <c r="Y16" s="1333"/>
      <c r="Z16" s="1334"/>
      <c r="AB16" t="s">
        <v>175</v>
      </c>
      <c r="AC16" t="s">
        <v>1062</v>
      </c>
    </row>
    <row r="17" spans="1:29" x14ac:dyDescent="0.25">
      <c r="A17" t="s">
        <v>243</v>
      </c>
      <c r="C17" s="836" t="s">
        <v>501</v>
      </c>
      <c r="G17" t="s">
        <v>12</v>
      </c>
      <c r="H17" t="s">
        <v>246</v>
      </c>
      <c r="M17" t="s">
        <v>24</v>
      </c>
      <c r="O17" t="s">
        <v>156</v>
      </c>
      <c r="P17">
        <v>0</v>
      </c>
      <c r="R17" t="s">
        <v>182</v>
      </c>
      <c r="AB17" t="s">
        <v>1024</v>
      </c>
      <c r="AC17" t="s">
        <v>1062</v>
      </c>
    </row>
    <row r="18" spans="1:29" x14ac:dyDescent="0.25">
      <c r="A18" t="s">
        <v>244</v>
      </c>
      <c r="C18" s="781" t="s">
        <v>1032</v>
      </c>
      <c r="G18" t="s">
        <v>117</v>
      </c>
      <c r="H18" t="s">
        <v>974</v>
      </c>
      <c r="M18" t="s">
        <v>25</v>
      </c>
      <c r="O18" t="s">
        <v>185</v>
      </c>
      <c r="P18">
        <v>0</v>
      </c>
      <c r="R18" t="s">
        <v>10</v>
      </c>
      <c r="Y18" s="1333"/>
      <c r="Z18" s="1333"/>
      <c r="AB18" t="s">
        <v>172</v>
      </c>
      <c r="AC18" t="s">
        <v>1062</v>
      </c>
    </row>
    <row r="19" spans="1:29" x14ac:dyDescent="0.25">
      <c r="A19" t="s">
        <v>245</v>
      </c>
      <c r="C19" s="480" t="s">
        <v>202</v>
      </c>
      <c r="G19" t="s">
        <v>634</v>
      </c>
      <c r="H19" t="s">
        <v>635</v>
      </c>
      <c r="M19" t="s">
        <v>247</v>
      </c>
      <c r="O19" t="s">
        <v>964</v>
      </c>
      <c r="P19">
        <v>0</v>
      </c>
      <c r="R19" t="s">
        <v>161</v>
      </c>
      <c r="Y19" s="1333"/>
      <c r="Z19" s="1333"/>
      <c r="AB19" t="s">
        <v>157</v>
      </c>
      <c r="AC19" t="s">
        <v>1061</v>
      </c>
    </row>
    <row r="20" spans="1:29" x14ac:dyDescent="0.25">
      <c r="A20" t="s">
        <v>17</v>
      </c>
      <c r="G20" t="s">
        <v>352</v>
      </c>
      <c r="H20" t="s">
        <v>1093</v>
      </c>
      <c r="M20" t="s">
        <v>13</v>
      </c>
      <c r="O20" t="s">
        <v>965</v>
      </c>
      <c r="P20">
        <v>0</v>
      </c>
      <c r="R20" t="s">
        <v>162</v>
      </c>
      <c r="Y20" s="1333"/>
      <c r="Z20" s="1333"/>
      <c r="AB20" t="s">
        <v>158</v>
      </c>
      <c r="AC20" t="s">
        <v>1062</v>
      </c>
    </row>
    <row r="21" spans="1:29" x14ac:dyDescent="0.25">
      <c r="G21" t="s">
        <v>662</v>
      </c>
      <c r="H21" t="s">
        <v>1022</v>
      </c>
      <c r="M21" t="s">
        <v>14</v>
      </c>
      <c r="R21" t="s">
        <v>163</v>
      </c>
      <c r="AB21" t="s">
        <v>187</v>
      </c>
      <c r="AC21" t="s">
        <v>1061</v>
      </c>
    </row>
    <row r="22" spans="1:29" x14ac:dyDescent="0.25">
      <c r="G22" t="s">
        <v>332</v>
      </c>
      <c r="H22" t="s">
        <v>160</v>
      </c>
      <c r="M22" t="s">
        <v>165</v>
      </c>
      <c r="R22" t="s">
        <v>164</v>
      </c>
      <c r="AB22" t="s">
        <v>280</v>
      </c>
      <c r="AC22" t="s">
        <v>1061</v>
      </c>
    </row>
    <row r="23" spans="1:29" ht="13" x14ac:dyDescent="0.3">
      <c r="A23" s="1" t="s">
        <v>838</v>
      </c>
      <c r="G23" t="s">
        <v>333</v>
      </c>
      <c r="H23" t="s">
        <v>186</v>
      </c>
      <c r="M23" t="s">
        <v>167</v>
      </c>
      <c r="R23" t="s">
        <v>181</v>
      </c>
      <c r="AB23" t="s">
        <v>188</v>
      </c>
      <c r="AC23" t="s">
        <v>1061</v>
      </c>
    </row>
    <row r="24" spans="1:29" x14ac:dyDescent="0.25">
      <c r="A24" s="463" t="s">
        <v>1061</v>
      </c>
      <c r="G24" t="s">
        <v>359</v>
      </c>
      <c r="H24" t="s">
        <v>175</v>
      </c>
      <c r="M24" t="s">
        <v>168</v>
      </c>
      <c r="R24" t="s">
        <v>170</v>
      </c>
      <c r="AB24" t="s">
        <v>180</v>
      </c>
      <c r="AC24" t="s">
        <v>1061</v>
      </c>
    </row>
    <row r="25" spans="1:29" x14ac:dyDescent="0.25">
      <c r="A25" s="463" t="s">
        <v>1062</v>
      </c>
      <c r="G25" t="s">
        <v>360</v>
      </c>
      <c r="H25" t="s">
        <v>1024</v>
      </c>
      <c r="M25" t="s">
        <v>18</v>
      </c>
      <c r="R25" t="s">
        <v>7</v>
      </c>
      <c r="AB25" t="s">
        <v>177</v>
      </c>
      <c r="AC25" t="s">
        <v>1061</v>
      </c>
    </row>
    <row r="26" spans="1:29" x14ac:dyDescent="0.25">
      <c r="A26" s="463" t="s">
        <v>839</v>
      </c>
      <c r="G26" t="s">
        <v>361</v>
      </c>
      <c r="H26" t="s">
        <v>172</v>
      </c>
      <c r="M26" t="s">
        <v>178</v>
      </c>
      <c r="R26" t="s">
        <v>24</v>
      </c>
      <c r="AB26" t="s">
        <v>156</v>
      </c>
      <c r="AC26" t="s">
        <v>1061</v>
      </c>
    </row>
    <row r="27" spans="1:29" x14ac:dyDescent="0.25">
      <c r="A27" s="463" t="s">
        <v>825</v>
      </c>
      <c r="G27" t="s">
        <v>365</v>
      </c>
      <c r="H27" t="s">
        <v>188</v>
      </c>
      <c r="M27" t="s">
        <v>30</v>
      </c>
      <c r="R27" t="s">
        <v>25</v>
      </c>
      <c r="AB27" t="s">
        <v>185</v>
      </c>
      <c r="AC27" t="s">
        <v>1061</v>
      </c>
    </row>
    <row r="28" spans="1:29" x14ac:dyDescent="0.25">
      <c r="A28">
        <v>0.1</v>
      </c>
      <c r="G28" t="s">
        <v>366</v>
      </c>
      <c r="H28" t="s">
        <v>180</v>
      </c>
      <c r="M28" t="s">
        <v>174</v>
      </c>
      <c r="R28" t="s">
        <v>247</v>
      </c>
      <c r="AB28" t="s">
        <v>1065</v>
      </c>
      <c r="AC28" t="s">
        <v>825</v>
      </c>
    </row>
    <row r="29" spans="1:29" x14ac:dyDescent="0.25">
      <c r="A29">
        <v>0.2</v>
      </c>
      <c r="G29" t="s">
        <v>1000</v>
      </c>
      <c r="H29" t="s">
        <v>9</v>
      </c>
      <c r="M29" t="s">
        <v>184</v>
      </c>
      <c r="R29" t="s">
        <v>13</v>
      </c>
    </row>
    <row r="30" spans="1:29" x14ac:dyDescent="0.25">
      <c r="A30">
        <v>0.25</v>
      </c>
      <c r="G30" t="s">
        <v>835</v>
      </c>
      <c r="H30" t="s">
        <v>836</v>
      </c>
      <c r="M30" t="s">
        <v>28</v>
      </c>
      <c r="R30" t="s">
        <v>14</v>
      </c>
    </row>
    <row r="31" spans="1:29" x14ac:dyDescent="0.25">
      <c r="A31">
        <v>0.3</v>
      </c>
      <c r="G31" t="s">
        <v>835</v>
      </c>
      <c r="H31" t="s">
        <v>836</v>
      </c>
      <c r="M31" t="s">
        <v>189</v>
      </c>
      <c r="R31" t="s">
        <v>165</v>
      </c>
    </row>
    <row r="32" spans="1:29" x14ac:dyDescent="0.25">
      <c r="A32">
        <v>0.4</v>
      </c>
      <c r="G32" t="s">
        <v>1359</v>
      </c>
      <c r="H32" t="s">
        <v>1360</v>
      </c>
      <c r="M32" t="s">
        <v>1093</v>
      </c>
      <c r="R32" t="s">
        <v>167</v>
      </c>
    </row>
    <row r="33" spans="1:18" x14ac:dyDescent="0.25">
      <c r="A33">
        <v>0.5</v>
      </c>
      <c r="M33" t="s">
        <v>1094</v>
      </c>
      <c r="R33" t="s">
        <v>168</v>
      </c>
    </row>
    <row r="34" spans="1:18" x14ac:dyDescent="0.25">
      <c r="A34">
        <v>0.6</v>
      </c>
      <c r="M34" t="s">
        <v>1022</v>
      </c>
      <c r="R34" t="s">
        <v>18</v>
      </c>
    </row>
    <row r="35" spans="1:18" x14ac:dyDescent="0.25">
      <c r="A35">
        <v>0.7</v>
      </c>
      <c r="M35" t="s">
        <v>1023</v>
      </c>
      <c r="R35" t="s">
        <v>178</v>
      </c>
    </row>
    <row r="36" spans="1:18" x14ac:dyDescent="0.25">
      <c r="A36">
        <v>0.8</v>
      </c>
      <c r="M36" t="s">
        <v>160</v>
      </c>
      <c r="R36" t="s">
        <v>30</v>
      </c>
    </row>
    <row r="37" spans="1:18" x14ac:dyDescent="0.25">
      <c r="A37">
        <v>0.9</v>
      </c>
      <c r="M37" t="s">
        <v>186</v>
      </c>
      <c r="R37" t="s">
        <v>174</v>
      </c>
    </row>
    <row r="38" spans="1:18" x14ac:dyDescent="0.25">
      <c r="M38" t="s">
        <v>175</v>
      </c>
      <c r="R38" t="s">
        <v>184</v>
      </c>
    </row>
    <row r="39" spans="1:18" x14ac:dyDescent="0.25">
      <c r="M39" t="s">
        <v>1024</v>
      </c>
      <c r="R39" t="s">
        <v>28</v>
      </c>
    </row>
    <row r="40" spans="1:18" x14ac:dyDescent="0.25">
      <c r="M40" t="s">
        <v>172</v>
      </c>
      <c r="R40" t="s">
        <v>189</v>
      </c>
    </row>
    <row r="41" spans="1:18" x14ac:dyDescent="0.25">
      <c r="M41" t="s">
        <v>157</v>
      </c>
      <c r="R41" t="s">
        <v>246</v>
      </c>
    </row>
    <row r="42" spans="1:18" x14ac:dyDescent="0.25">
      <c r="M42" t="s">
        <v>158</v>
      </c>
      <c r="R42" t="s">
        <v>27</v>
      </c>
    </row>
    <row r="43" spans="1:18" x14ac:dyDescent="0.25">
      <c r="M43" t="s">
        <v>280</v>
      </c>
      <c r="R43" t="s">
        <v>179</v>
      </c>
    </row>
    <row r="44" spans="1:18" x14ac:dyDescent="0.25">
      <c r="M44" t="s">
        <v>187</v>
      </c>
      <c r="R44" t="s">
        <v>171</v>
      </c>
    </row>
    <row r="45" spans="1:18" x14ac:dyDescent="0.25">
      <c r="M45" t="s">
        <v>188</v>
      </c>
      <c r="R45" t="s">
        <v>173</v>
      </c>
    </row>
    <row r="46" spans="1:18" x14ac:dyDescent="0.25">
      <c r="M46" t="s">
        <v>180</v>
      </c>
      <c r="R46" t="s">
        <v>29</v>
      </c>
    </row>
    <row r="47" spans="1:18" x14ac:dyDescent="0.25">
      <c r="M47" t="s">
        <v>176</v>
      </c>
      <c r="R47" t="s">
        <v>159</v>
      </c>
    </row>
    <row r="48" spans="1:18" x14ac:dyDescent="0.25">
      <c r="M48" t="s">
        <v>177</v>
      </c>
      <c r="R48" t="s">
        <v>169</v>
      </c>
    </row>
    <row r="49" spans="13:18" x14ac:dyDescent="0.25">
      <c r="M49" t="s">
        <v>156</v>
      </c>
      <c r="R49" t="s">
        <v>1093</v>
      </c>
    </row>
    <row r="50" spans="13:18" x14ac:dyDescent="0.25">
      <c r="M50" t="s">
        <v>185</v>
      </c>
      <c r="R50" t="s">
        <v>1094</v>
      </c>
    </row>
    <row r="51" spans="13:18" x14ac:dyDescent="0.25">
      <c r="M51" t="s">
        <v>9</v>
      </c>
      <c r="R51" t="s">
        <v>1022</v>
      </c>
    </row>
    <row r="52" spans="13:18" x14ac:dyDescent="0.25">
      <c r="M52" t="s">
        <v>1065</v>
      </c>
      <c r="R52" t="s">
        <v>1023</v>
      </c>
    </row>
    <row r="53" spans="13:18" x14ac:dyDescent="0.25">
      <c r="M53" t="s">
        <v>587</v>
      </c>
      <c r="R53" t="s">
        <v>160</v>
      </c>
    </row>
    <row r="54" spans="13:18" x14ac:dyDescent="0.25">
      <c r="M54" t="s">
        <v>340</v>
      </c>
      <c r="R54" t="s">
        <v>186</v>
      </c>
    </row>
    <row r="55" spans="13:18" x14ac:dyDescent="0.25">
      <c r="M55" t="s">
        <v>341</v>
      </c>
      <c r="R55" t="s">
        <v>175</v>
      </c>
    </row>
    <row r="56" spans="13:18" x14ac:dyDescent="0.25">
      <c r="M56" t="s">
        <v>342</v>
      </c>
      <c r="R56" t="s">
        <v>1024</v>
      </c>
    </row>
    <row r="57" spans="13:18" x14ac:dyDescent="0.25">
      <c r="M57" t="s">
        <v>588</v>
      </c>
      <c r="R57" t="s">
        <v>172</v>
      </c>
    </row>
    <row r="58" spans="13:18" x14ac:dyDescent="0.25">
      <c r="M58" t="s">
        <v>343</v>
      </c>
      <c r="R58" t="s">
        <v>157</v>
      </c>
    </row>
    <row r="59" spans="13:18" x14ac:dyDescent="0.25">
      <c r="M59" t="s">
        <v>589</v>
      </c>
      <c r="R59" t="s">
        <v>158</v>
      </c>
    </row>
    <row r="60" spans="13:18" x14ac:dyDescent="0.25">
      <c r="M60" t="s">
        <v>344</v>
      </c>
      <c r="R60" t="s">
        <v>280</v>
      </c>
    </row>
    <row r="61" spans="13:18" x14ac:dyDescent="0.25">
      <c r="M61" t="s">
        <v>345</v>
      </c>
      <c r="R61" t="s">
        <v>281</v>
      </c>
    </row>
    <row r="62" spans="13:18" x14ac:dyDescent="0.25">
      <c r="R62" t="s">
        <v>259</v>
      </c>
    </row>
    <row r="63" spans="13:18" x14ac:dyDescent="0.25">
      <c r="R63" t="s">
        <v>187</v>
      </c>
    </row>
    <row r="64" spans="13:18" x14ac:dyDescent="0.25">
      <c r="R64" t="s">
        <v>188</v>
      </c>
    </row>
    <row r="65" spans="18:18" x14ac:dyDescent="0.25">
      <c r="R65" t="s">
        <v>180</v>
      </c>
    </row>
    <row r="66" spans="18:18" x14ac:dyDescent="0.25">
      <c r="R66" t="s">
        <v>176</v>
      </c>
    </row>
    <row r="67" spans="18:18" x14ac:dyDescent="0.25">
      <c r="R67" t="s">
        <v>177</v>
      </c>
    </row>
    <row r="68" spans="18:18" x14ac:dyDescent="0.25">
      <c r="R68" t="s">
        <v>156</v>
      </c>
    </row>
    <row r="69" spans="18:18" x14ac:dyDescent="0.25">
      <c r="R69" t="s">
        <v>185</v>
      </c>
    </row>
    <row r="70" spans="18:18" x14ac:dyDescent="0.25">
      <c r="R70" t="s">
        <v>9</v>
      </c>
    </row>
    <row r="71" spans="18:18" x14ac:dyDescent="0.25">
      <c r="R71" t="s">
        <v>1065</v>
      </c>
    </row>
    <row r="72" spans="18:18" x14ac:dyDescent="0.25">
      <c r="R72" t="s">
        <v>587</v>
      </c>
    </row>
    <row r="73" spans="18:18" x14ac:dyDescent="0.25">
      <c r="R73" t="s">
        <v>340</v>
      </c>
    </row>
    <row r="74" spans="18:18" x14ac:dyDescent="0.25">
      <c r="R74" t="s">
        <v>341</v>
      </c>
    </row>
    <row r="75" spans="18:18" x14ac:dyDescent="0.25">
      <c r="R75" t="s">
        <v>342</v>
      </c>
    </row>
    <row r="76" spans="18:18" x14ac:dyDescent="0.25">
      <c r="R76" t="s">
        <v>588</v>
      </c>
    </row>
    <row r="77" spans="18:18" x14ac:dyDescent="0.25">
      <c r="R77" t="s">
        <v>343</v>
      </c>
    </row>
    <row r="78" spans="18:18" x14ac:dyDescent="0.25">
      <c r="R78" t="s">
        <v>589</v>
      </c>
    </row>
    <row r="79" spans="18:18" x14ac:dyDescent="0.25">
      <c r="R79" t="s">
        <v>344</v>
      </c>
    </row>
    <row r="80" spans="18:18" x14ac:dyDescent="0.25">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409</v>
      </c>
    </row>
    <row r="6" spans="2:2" ht="13" x14ac:dyDescent="0.3">
      <c r="B6" s="783" t="s">
        <v>204</v>
      </c>
    </row>
    <row r="7" spans="2:2" x14ac:dyDescent="0.25">
      <c r="B7" s="747"/>
    </row>
    <row r="8" spans="2:2" x14ac:dyDescent="0.25">
      <c r="B8" s="784"/>
    </row>
    <row r="9" spans="2:2" x14ac:dyDescent="0.25">
      <c r="B9" s="784"/>
    </row>
    <row r="10" spans="2:2" x14ac:dyDescent="0.25">
      <c r="B10" s="784"/>
    </row>
    <row r="11" spans="2:2" x14ac:dyDescent="0.25">
      <c r="B11" s="784"/>
    </row>
    <row r="12" spans="2:2" x14ac:dyDescent="0.25">
      <c r="B12" s="784"/>
    </row>
    <row r="13" spans="2:2" x14ac:dyDescent="0.25">
      <c r="B13" s="784"/>
    </row>
    <row r="14" spans="2:2" x14ac:dyDescent="0.25">
      <c r="B14" s="784"/>
    </row>
    <row r="15" spans="2:2" x14ac:dyDescent="0.25">
      <c r="B15" s="784"/>
    </row>
    <row r="16" spans="2:2" x14ac:dyDescent="0.25">
      <c r="B16" s="784"/>
    </row>
    <row r="17" spans="2:2" x14ac:dyDescent="0.25">
      <c r="B17" s="784"/>
    </row>
    <row r="18" spans="2:2" x14ac:dyDescent="0.25">
      <c r="B18" s="784"/>
    </row>
    <row r="19" spans="2:2" x14ac:dyDescent="0.25">
      <c r="B19" s="784"/>
    </row>
    <row r="20" spans="2:2" x14ac:dyDescent="0.25">
      <c r="B20" s="784"/>
    </row>
    <row r="21" spans="2:2" x14ac:dyDescent="0.25">
      <c r="B21" s="784"/>
    </row>
    <row r="22" spans="2:2" x14ac:dyDescent="0.25">
      <c r="B22" s="784"/>
    </row>
    <row r="23" spans="2:2" x14ac:dyDescent="0.25">
      <c r="B23" s="784"/>
    </row>
    <row r="24" spans="2:2" x14ac:dyDescent="0.25">
      <c r="B24" s="784"/>
    </row>
    <row r="25" spans="2:2" x14ac:dyDescent="0.25">
      <c r="B25" s="784"/>
    </row>
    <row r="26" spans="2:2" x14ac:dyDescent="0.25">
      <c r="B26" s="784"/>
    </row>
    <row r="27" spans="2:2" x14ac:dyDescent="0.25">
      <c r="B27" s="784"/>
    </row>
    <row r="28" spans="2:2" x14ac:dyDescent="0.25">
      <c r="B28" s="784"/>
    </row>
    <row r="29" spans="2:2" ht="13" x14ac:dyDescent="0.3">
      <c r="B29" s="785" t="s">
        <v>205</v>
      </c>
    </row>
    <row r="30" spans="2:2" x14ac:dyDescent="0.25">
      <c r="B30" s="747"/>
    </row>
    <row r="31" spans="2:2" x14ac:dyDescent="0.25">
      <c r="B31" s="209"/>
    </row>
    <row r="32" spans="2:2" x14ac:dyDescent="0.25">
      <c r="B32" s="784"/>
    </row>
    <row r="80" ht="81" customHeight="1" x14ac:dyDescent="0.25"/>
    <row r="82" ht="97.5" customHeight="1" x14ac:dyDescent="0.25"/>
    <row r="84" ht="68.25" customHeight="1" x14ac:dyDescent="0.25"/>
    <row r="86" ht="63" customHeight="1" x14ac:dyDescent="0.25"/>
    <row r="88" ht="63.75" customHeight="1" x14ac:dyDescent="0.25"/>
    <row r="90"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7042150</xdr:colOff>
                <xdr:row>0</xdr:row>
                <xdr:rowOff>95250</xdr:rowOff>
              </from>
              <to>
                <xdr:col>1</xdr:col>
                <xdr:colOff>8382000</xdr:colOff>
                <xdr:row>3</xdr:row>
                <xdr:rowOff>25400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408</v>
      </c>
    </row>
    <row r="6" spans="2:2" ht="13" x14ac:dyDescent="0.3">
      <c r="B6" s="783" t="s">
        <v>206</v>
      </c>
    </row>
    <row r="7" spans="2:2" x14ac:dyDescent="0.25">
      <c r="B7" s="747"/>
    </row>
    <row r="8" spans="2:2" x14ac:dyDescent="0.25">
      <c r="B8" s="784"/>
    </row>
    <row r="9" spans="2:2" x14ac:dyDescent="0.25">
      <c r="B9" s="784"/>
    </row>
    <row r="10" spans="2:2" ht="13" x14ac:dyDescent="0.3">
      <c r="B10" s="785" t="s">
        <v>207</v>
      </c>
    </row>
    <row r="11" spans="2:2" x14ac:dyDescent="0.25">
      <c r="B11" s="747"/>
    </row>
    <row r="12" spans="2:2" x14ac:dyDescent="0.25">
      <c r="B12" s="209"/>
    </row>
    <row r="13" spans="2:2" x14ac:dyDescent="0.25">
      <c r="B13" s="784"/>
    </row>
    <row r="14" spans="2:2" ht="13" x14ac:dyDescent="0.3">
      <c r="B14" s="785" t="s">
        <v>208</v>
      </c>
    </row>
    <row r="15" spans="2:2" x14ac:dyDescent="0.25">
      <c r="B15" s="747"/>
    </row>
    <row r="16" spans="2:2" x14ac:dyDescent="0.25">
      <c r="B16" s="784"/>
    </row>
    <row r="17" spans="2:2" x14ac:dyDescent="0.25">
      <c r="B17" s="784"/>
    </row>
    <row r="18" spans="2:2" ht="13" x14ac:dyDescent="0.3">
      <c r="B18" s="785" t="s">
        <v>209</v>
      </c>
    </row>
    <row r="19" spans="2:2" x14ac:dyDescent="0.25">
      <c r="B19" s="747"/>
    </row>
    <row r="20" spans="2:2" x14ac:dyDescent="0.25">
      <c r="B20" s="784"/>
    </row>
    <row r="21" spans="2:2" ht="13" x14ac:dyDescent="0.25">
      <c r="B21" s="786" t="s">
        <v>210</v>
      </c>
    </row>
    <row r="22" spans="2:2" x14ac:dyDescent="0.25">
      <c r="B22" s="787"/>
    </row>
    <row r="23" spans="2:2" x14ac:dyDescent="0.25">
      <c r="B23" s="747"/>
    </row>
    <row r="24" spans="2:2" x14ac:dyDescent="0.25">
      <c r="B24" s="747"/>
    </row>
    <row r="25" spans="2:2" x14ac:dyDescent="0.25">
      <c r="B25" s="747"/>
    </row>
    <row r="26" spans="2:2" x14ac:dyDescent="0.25">
      <c r="B26" s="787"/>
    </row>
    <row r="75" ht="81" customHeight="1" x14ac:dyDescent="0.25"/>
    <row r="77" ht="97.5" customHeight="1" x14ac:dyDescent="0.25"/>
    <row r="79" ht="68.25" customHeight="1" x14ac:dyDescent="0.25"/>
    <row r="81" ht="63" customHeight="1" x14ac:dyDescent="0.25"/>
    <row r="83" ht="63.75" customHeight="1" x14ac:dyDescent="0.25"/>
    <row r="85"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5765800</xdr:colOff>
                <xdr:row>0</xdr:row>
                <xdr:rowOff>95250</xdr:rowOff>
              </from>
              <to>
                <xdr:col>1</xdr:col>
                <xdr:colOff>7112000</xdr:colOff>
                <xdr:row>3</xdr:row>
                <xdr:rowOff>25400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2" t="s">
        <v>407</v>
      </c>
    </row>
    <row r="4" spans="2:4" ht="13" thickBot="1" x14ac:dyDescent="0.3"/>
    <row r="5" spans="2:4" ht="13.5" thickTop="1" x14ac:dyDescent="0.3">
      <c r="B5" s="788" t="s">
        <v>211</v>
      </c>
      <c r="C5" s="789"/>
      <c r="D5" s="790"/>
    </row>
    <row r="6" spans="2:4" ht="13" x14ac:dyDescent="0.3">
      <c r="B6" s="791" t="s">
        <v>212</v>
      </c>
      <c r="C6" s="523"/>
      <c r="D6" s="790"/>
    </row>
    <row r="7" spans="2:4" ht="13" x14ac:dyDescent="0.3">
      <c r="B7" s="791" t="s">
        <v>213</v>
      </c>
      <c r="C7" s="523"/>
      <c r="D7" s="790"/>
    </row>
    <row r="8" spans="2:4" ht="13" x14ac:dyDescent="0.3">
      <c r="B8" s="791" t="s">
        <v>214</v>
      </c>
      <c r="C8" s="523"/>
      <c r="D8" s="790"/>
    </row>
    <row r="9" spans="2:4" ht="13" x14ac:dyDescent="0.3">
      <c r="B9" s="791" t="s">
        <v>215</v>
      </c>
      <c r="C9" s="792"/>
      <c r="D9" s="793"/>
    </row>
    <row r="10" spans="2:4" ht="13" x14ac:dyDescent="0.3">
      <c r="B10" s="791" t="s">
        <v>216</v>
      </c>
      <c r="C10" s="523"/>
      <c r="D10" s="790"/>
    </row>
    <row r="11" spans="2:4" ht="13" x14ac:dyDescent="0.3">
      <c r="B11" s="791" t="s">
        <v>217</v>
      </c>
      <c r="C11" s="794"/>
      <c r="D11" s="795"/>
    </row>
    <row r="12" spans="2:4" ht="13.5" thickBot="1" x14ac:dyDescent="0.35">
      <c r="B12" s="796" t="s">
        <v>218</v>
      </c>
      <c r="C12" s="524"/>
      <c r="D12" s="790"/>
    </row>
    <row r="13" spans="2:4" ht="14" thickTop="1" thickBot="1" x14ac:dyDescent="0.35">
      <c r="B13" s="797"/>
      <c r="C13" s="790"/>
      <c r="D13" s="798"/>
    </row>
    <row r="14" spans="2:4" ht="13.5" thickTop="1" x14ac:dyDescent="0.3">
      <c r="B14" s="788" t="s">
        <v>219</v>
      </c>
      <c r="C14" s="799"/>
      <c r="D14" s="800"/>
    </row>
    <row r="15" spans="2:4" ht="13" x14ac:dyDescent="0.3">
      <c r="B15" s="791" t="s">
        <v>220</v>
      </c>
      <c r="C15" s="801"/>
      <c r="D15" s="802"/>
    </row>
    <row r="16" spans="2:4" ht="13" x14ac:dyDescent="0.3">
      <c r="B16" s="791" t="s">
        <v>221</v>
      </c>
      <c r="C16" s="737"/>
      <c r="D16" s="800"/>
    </row>
    <row r="17" spans="2:4" ht="13" x14ac:dyDescent="0.3">
      <c r="B17" s="791" t="s">
        <v>222</v>
      </c>
      <c r="C17" s="737"/>
      <c r="D17" s="800"/>
    </row>
    <row r="18" spans="2:4" ht="13" x14ac:dyDescent="0.3">
      <c r="B18" s="791" t="s">
        <v>223</v>
      </c>
      <c r="C18" s="737"/>
      <c r="D18" s="803"/>
    </row>
    <row r="19" spans="2:4" ht="13" x14ac:dyDescent="0.3">
      <c r="B19" s="791" t="s">
        <v>224</v>
      </c>
      <c r="C19" s="737"/>
      <c r="D19" s="800"/>
    </row>
    <row r="20" spans="2:4" ht="13" x14ac:dyDescent="0.3">
      <c r="B20" s="791" t="s">
        <v>225</v>
      </c>
      <c r="C20" s="737"/>
      <c r="D20" s="800"/>
    </row>
    <row r="21" spans="2:4" ht="13" x14ac:dyDescent="0.3">
      <c r="B21" s="791" t="s">
        <v>226</v>
      </c>
      <c r="C21" s="737"/>
      <c r="D21" s="800"/>
    </row>
    <row r="22" spans="2:4" ht="26" x14ac:dyDescent="0.3">
      <c r="B22" s="804" t="s">
        <v>227</v>
      </c>
      <c r="C22" s="801"/>
      <c r="D22" s="800"/>
    </row>
    <row r="23" spans="2:4" ht="13" x14ac:dyDescent="0.3">
      <c r="B23" s="804" t="s">
        <v>228</v>
      </c>
      <c r="C23" s="737"/>
      <c r="D23" s="800"/>
    </row>
    <row r="24" spans="2:4" ht="13.5" thickBot="1" x14ac:dyDescent="0.35">
      <c r="B24" s="796" t="s">
        <v>229</v>
      </c>
      <c r="C24" s="805"/>
      <c r="D24" s="800"/>
    </row>
    <row r="25" spans="2:4" ht="14" thickTop="1" thickBot="1" x14ac:dyDescent="0.35">
      <c r="B25" s="806"/>
      <c r="C25" s="800"/>
      <c r="D25" s="800"/>
    </row>
    <row r="26" spans="2:4" ht="13.5" thickTop="1" x14ac:dyDescent="0.3">
      <c r="B26" s="1715" t="s">
        <v>230</v>
      </c>
      <c r="C26" s="1716"/>
      <c r="D26" s="1717"/>
    </row>
    <row r="27" spans="2:4" ht="13" x14ac:dyDescent="0.3">
      <c r="B27" s="807" t="s">
        <v>231</v>
      </c>
      <c r="C27" s="808" t="s">
        <v>232</v>
      </c>
      <c r="D27" s="809" t="s">
        <v>1030</v>
      </c>
    </row>
    <row r="28" spans="2:4" x14ac:dyDescent="0.25">
      <c r="B28" s="810"/>
      <c r="C28" s="811"/>
      <c r="D28" s="737"/>
    </row>
    <row r="29" spans="2:4" x14ac:dyDescent="0.25">
      <c r="B29" s="812"/>
      <c r="C29" s="811"/>
      <c r="D29" s="737"/>
    </row>
    <row r="30" spans="2:4" x14ac:dyDescent="0.25">
      <c r="B30" s="812"/>
      <c r="C30" s="811"/>
      <c r="D30" s="737"/>
    </row>
    <row r="31" spans="2:4" x14ac:dyDescent="0.25">
      <c r="B31" s="812"/>
      <c r="C31" s="811"/>
      <c r="D31" s="737"/>
    </row>
    <row r="32" spans="2:4" x14ac:dyDescent="0.25">
      <c r="B32" s="812"/>
      <c r="C32" s="811"/>
      <c r="D32" s="737"/>
    </row>
    <row r="33" spans="2:4" ht="13" thickBot="1" x14ac:dyDescent="0.3">
      <c r="B33" s="813"/>
      <c r="C33" s="814"/>
      <c r="D33" s="805"/>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12700</xdr:rowOff>
              </from>
              <to>
                <xdr:col>3</xdr:col>
                <xdr:colOff>1987550</xdr:colOff>
                <xdr:row>2</xdr:row>
                <xdr:rowOff>44450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Props1.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2.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3.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8EF8E5CF-3FBC-4639-B789-46FCAB06DA57}">
  <ds:schemaRefs>
    <ds:schemaRef ds:uri="http://purl.org/dc/terms/"/>
    <ds:schemaRef ds:uri="http://schemas.microsoft.com/office/2006/documentManagement/types"/>
    <ds:schemaRef ds:uri="http://schemas.openxmlformats.org/package/2006/metadata/core-properties"/>
    <ds:schemaRef ds:uri="http://purl.org/dc/elements/1.1/"/>
    <ds:schemaRef ds:uri="d82b9494-d8c4-46c3-8d38-25b9e100fe6d"/>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314</vt:i4>
      </vt:variant>
    </vt:vector>
  </HeadingPairs>
  <TitlesOfParts>
    <vt:vector size="336"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utilityIndustrial_Electricity_Price</vt:lpstr>
      <vt:lpstr>utilityIndustrial_Electricity_Usage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Future Central Hydrogen Production from Natural Gas without CO2 Sequestration version 3.2018</dc:title>
  <dc:subject>DOE H2A production case study for future central hydrogen production from natural gas without CO2 sequestration.</dc:subject>
  <dc:creator>dsteward</dc:creator>
  <cp:lastModifiedBy>JRICKARD</cp:lastModifiedBy>
  <cp:lastPrinted>2008-09-22T17:50:40Z</cp:lastPrinted>
  <dcterms:created xsi:type="dcterms:W3CDTF">2007-03-27T19:45:13Z</dcterms:created>
  <dcterms:modified xsi:type="dcterms:W3CDTF">2018-11-27T16:35:50Z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